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17803054A\Desktop\"/>
    </mc:Choice>
  </mc:AlternateContent>
  <bookViews>
    <workbookView xWindow="480" yWindow="1245" windowWidth="19995" windowHeight="11760" activeTab="1"/>
  </bookViews>
  <sheets>
    <sheet name="Overview" sheetId="6" r:id="rId1"/>
    <sheet name="Term Leave Calc" sheetId="4" r:id="rId2"/>
    <sheet name="Calculation Values" sheetId="5" state="hidden" r:id="rId3"/>
    <sheet name="Calculations" sheetId="1" state="hidden" r:id="rId4"/>
  </sheets>
  <definedNames>
    <definedName name="AFGHANISTAN">#REF!</definedName>
    <definedName name="ALASKA">#REF!</definedName>
    <definedName name="ALBANIA">#REF!</definedName>
    <definedName name="ALGERIA">#REF!</definedName>
    <definedName name="AMERICAN_SAMOA">#REF!</definedName>
    <definedName name="ANDORRA">#REF!</definedName>
    <definedName name="ANGOLA">#REF!</definedName>
    <definedName name="ANTARCTICA">#REF!</definedName>
    <definedName name="ANTIGUA_AND_BARBUDA">#REF!</definedName>
    <definedName name="ANTIGUA_BARBADOS">#REF!</definedName>
    <definedName name="ARGENTINA">#REF!</definedName>
    <definedName name="ARMENIA">#REF!</definedName>
    <definedName name="ASCENSION_ISLAND">#REF!</definedName>
    <definedName name="AUSTRALIA">#REF!</definedName>
    <definedName name="AUSTRIA">#REF!</definedName>
    <definedName name="AZERBAIJAN">#REF!</definedName>
    <definedName name="AZORES">#REF!</definedName>
    <definedName name="BAHAMAS">#REF!</definedName>
    <definedName name="BAHRAIN">#REF!</definedName>
    <definedName name="BALEARIC_ISLANDS">#REF!</definedName>
    <definedName name="BANGLADESH">#REF!</definedName>
    <definedName name="BELIZE">#REF!</definedName>
    <definedName name="BOLIVIA">#REF!</definedName>
    <definedName name="BOTSWANA">#REF!</definedName>
    <definedName name="BRAZIL">#REF!</definedName>
    <definedName name="BRITISH_WEST_INDIES">#REF!</definedName>
    <definedName name="BRUNEI">#REF!</definedName>
    <definedName name="BULGARIA">#REF!</definedName>
    <definedName name="BURKINA_FASO">#REF!</definedName>
    <definedName name="BURMA">#REF!</definedName>
    <definedName name="BURUNDI">#REF!</definedName>
    <definedName name="CAMEROON">#REF!</definedName>
    <definedName name="CANADA">#REF!</definedName>
    <definedName name="CANARY_ISLANDS">#REF!</definedName>
    <definedName name="CAPE_VERDE">#REF!</definedName>
    <definedName name="CHAD">#REF!</definedName>
    <definedName name="CHILE">#REF!</definedName>
    <definedName name="CHINA">#REF!</definedName>
    <definedName name="COCOS_ISLANDS">#REF!</definedName>
    <definedName name="COLOMBIA">#REF!</definedName>
    <definedName name="COMOROS">#REF!</definedName>
    <definedName name="CONGO">#REF!</definedName>
    <definedName name="COOK_ISLANDS">#REF!</definedName>
    <definedName name="COTE_DIVOIRE">#REF!</definedName>
    <definedName name="COUNTRY">#REF!</definedName>
    <definedName name="CROATIA">#REF!</definedName>
    <definedName name="CUBA">#REF!</definedName>
    <definedName name="CYPRUS">#REF!</definedName>
    <definedName name="DENMARK">#REF!</definedName>
    <definedName name="DIEGO_GARCIA">#REF!</definedName>
    <definedName name="DJIBOUTI">#REF!</definedName>
    <definedName name="DOMINICAN_REPUBLIC">#REF!</definedName>
    <definedName name="ECUADOR">#REF!</definedName>
    <definedName name="EGYPT">#REF!</definedName>
    <definedName name="EL_SALVADOR">#REF!</definedName>
    <definedName name="ERITREA">#REF!</definedName>
    <definedName name="ESTONIA">#REF!</definedName>
    <definedName name="FAROE_ISLANDS">#REF!</definedName>
    <definedName name="FIJI">#REF!</definedName>
    <definedName name="FINLAND">#REF!</definedName>
    <definedName name="FRANCE">#REF!</definedName>
    <definedName name="FRENCH_GUIANA">#REF!</definedName>
    <definedName name="FRENCH_POLYNESIA">#REF!</definedName>
    <definedName name="GABON">#REF!</definedName>
    <definedName name="GEORGIA">#REF!</definedName>
    <definedName name="GERMANY">#REF!</definedName>
    <definedName name="GHANA">#REF!</definedName>
    <definedName name="GIBRALTAR">#REF!</definedName>
    <definedName name="GREECE">#REF!</definedName>
    <definedName name="GREENLAND">#REF!</definedName>
    <definedName name="GRENADA">#REF!</definedName>
    <definedName name="GUADELOUPE">#REF!</definedName>
    <definedName name="GUAM">#REF!</definedName>
    <definedName name="GUATEMALA">#REF!</definedName>
    <definedName name="GUINEA">#REF!</definedName>
    <definedName name="GUYANA">#REF!</definedName>
    <definedName name="HAITI">#REF!</definedName>
    <definedName name="HAWAII">#REF!</definedName>
    <definedName name="HOLY_SEE">#REF!</definedName>
    <definedName name="HONDURAS">#REF!</definedName>
    <definedName name="HONG_KONG">#REF!</definedName>
    <definedName name="HUNGARY">#REF!</definedName>
    <definedName name="ICELAND">#REF!</definedName>
    <definedName name="INDIA">#REF!</definedName>
    <definedName name="INDONESIA">#REF!</definedName>
    <definedName name="IRAN">#REF!</definedName>
    <definedName name="IRAQ">#REF!</definedName>
    <definedName name="IRELAND">#REF!</definedName>
    <definedName name="ISRAEL">#REF!</definedName>
    <definedName name="ITALY">#REF!</definedName>
    <definedName name="JAMAICA">#REF!</definedName>
    <definedName name="JAPAN">#REF!</definedName>
    <definedName name="JERUSALEM">#REF!</definedName>
    <definedName name="JORDAN">#REF!</definedName>
    <definedName name="KAZAKHSTAN">#REF!</definedName>
    <definedName name="KENYA">#REF!</definedName>
    <definedName name="KIRIBATI">#REF!</definedName>
    <definedName name="KOREA">#REF!</definedName>
    <definedName name="KUWAIT">#REF!</definedName>
    <definedName name="KYRGYZSTAN">#REF!</definedName>
    <definedName name="LAOS">#REF!</definedName>
    <definedName name="LATVIA">#REF!</definedName>
    <definedName name="LEBANON">#REF!</definedName>
    <definedName name="LESOTHO">#REF!</definedName>
    <definedName name="LIBERIA">#REF!</definedName>
    <definedName name="LIBYA">#REF!</definedName>
    <definedName name="LIECHTENSTEIN">#REF!</definedName>
    <definedName name="LITHUANIA">#REF!</definedName>
    <definedName name="LUXEMBOURG">#REF!</definedName>
    <definedName name="MACAU">#REF!</definedName>
    <definedName name="MACEDONIA">#REF!</definedName>
    <definedName name="MADAGASCAR">#REF!</definedName>
    <definedName name="MADEIRA_ISLANDS">#REF!</definedName>
    <definedName name="MALAWI">#REF!</definedName>
    <definedName name="MALAYSIA">#REF!</definedName>
    <definedName name="MALDIVES">#REF!</definedName>
    <definedName name="MALI">#REF!</definedName>
    <definedName name="MALTA">#REF!</definedName>
    <definedName name="MARSHALL_ISLANDS">#REF!</definedName>
    <definedName name="MARTINIQUE">#REF!</definedName>
    <definedName name="MAURITANIA">#REF!</definedName>
    <definedName name="MAURITIUS">#REF!</definedName>
    <definedName name="MEXICO">#REF!</definedName>
    <definedName name="MICRONESIA">#REF!</definedName>
    <definedName name="MIDWAY_ISLANDS">#REF!</definedName>
    <definedName name="MOLDOVA">#REF!</definedName>
    <definedName name="MONACO">#REF!</definedName>
    <definedName name="MONGOLIA">#REF!</definedName>
    <definedName name="MONTENEGRO">#REF!</definedName>
    <definedName name="MOROCCO">#REF!</definedName>
    <definedName name="MOZAMBIQUE">#REF!</definedName>
    <definedName name="N.KOREA">#REF!</definedName>
    <definedName name="NAMIBIA">#REF!</definedName>
    <definedName name="NAURU">#REF!</definedName>
    <definedName name="NEPAL">#REF!</definedName>
    <definedName name="NETHERLANDS">#REF!</definedName>
    <definedName name="NETHERLANDS_ANTILLES">#REF!</definedName>
    <definedName name="NEW_CALEDONIA">#REF!</definedName>
    <definedName name="NEW_ZEALAND">#REF!</definedName>
    <definedName name="NICARAGUA">#REF!</definedName>
    <definedName name="NIGER">#REF!</definedName>
    <definedName name="NIGERIA">#REF!</definedName>
    <definedName name="NIUE">#REF!</definedName>
    <definedName name="NORTHERN_MARIANA_ISLANDS">#REF!</definedName>
    <definedName name="NORWAY">#REF!</definedName>
    <definedName name="OMAN">#REF!</definedName>
    <definedName name="OTHER_FOREIGN_LOCALITIES">#REF!</definedName>
    <definedName name="PAKISTAN">#REF!</definedName>
    <definedName name="PALAU">#REF!</definedName>
    <definedName name="PANAMA">#REF!</definedName>
    <definedName name="PAPUA_NEW_GUINEA">#REF!</definedName>
    <definedName name="PARAGUAY">#REF!</definedName>
    <definedName name="PERU">#REF!</definedName>
    <definedName name="PHILIPPINES">#REF!</definedName>
    <definedName name="POLAND">#REF!</definedName>
    <definedName name="PORTUGAL">#REF!</definedName>
    <definedName name="PUERTO_RICO">#REF!</definedName>
    <definedName name="QATAR">#REF!</definedName>
    <definedName name="REPUBLIC_OF_EQUATORIA">#REF!</definedName>
    <definedName name="REPUBLIC_OF_THE_CONGO">#REF!</definedName>
    <definedName name="REUNION">#REF!</definedName>
    <definedName name="ROMANIA">#REF!</definedName>
    <definedName name="RUSSIA">#REF!</definedName>
    <definedName name="RWANDA">#REF!</definedName>
    <definedName name="SAINT_HELENA">#REF!</definedName>
    <definedName name="SAINT_KITTS_AND_NEVIS">#REF!</definedName>
    <definedName name="SAINT_VINCENT_AND_THE_GRENADINES">#REF!</definedName>
    <definedName name="SAMOA_ISLANDS">#REF!</definedName>
    <definedName name="SAO_TOME_AND_PRINCIPE">#REF!</definedName>
    <definedName name="SAUDI_ARABIA">#REF!</definedName>
    <definedName name="SEE_PORTUGAL">#REF!</definedName>
    <definedName name="SENEGAL">#REF!</definedName>
    <definedName name="SERBIA">#REF!</definedName>
    <definedName name="SEYCHELLES">#REF!</definedName>
    <definedName name="SIERRA_LEONE">#REF!</definedName>
    <definedName name="SINGAPORE">#REF!</definedName>
    <definedName name="Site">#REF!</definedName>
    <definedName name="SLOVAK_REPUBLIC">#REF!</definedName>
    <definedName name="SLOVENIA">#REF!</definedName>
    <definedName name="SOLOMON_ISLANDS">#REF!</definedName>
    <definedName name="SOMALIA">#REF!</definedName>
    <definedName name="SOUTH_AFRICA">#REF!</definedName>
    <definedName name="SPAIN">#REF!</definedName>
    <definedName name="SRI_LANKA">#REF!</definedName>
    <definedName name="ST_LUCIA">#REF!</definedName>
    <definedName name="SUDAN">#REF!</definedName>
    <definedName name="SURINAME">#REF!</definedName>
    <definedName name="SWAZILAND">#REF!</definedName>
    <definedName name="SWEDEN">#REF!</definedName>
    <definedName name="SWITZERLAND">#REF!</definedName>
    <definedName name="SYRIA">#REF!</definedName>
    <definedName name="TAIWAN">#REF!</definedName>
    <definedName name="TAJIKISTAN">#REF!</definedName>
    <definedName name="TANZANIA">#REF!</definedName>
    <definedName name="THAILAND">#REF!</definedName>
    <definedName name="THE_GAMBIA">#REF!</definedName>
    <definedName name="TOGO">#REF!</definedName>
    <definedName name="TOKELAU_ISLANDS">#REF!</definedName>
    <definedName name="TONGA">#REF!</definedName>
    <definedName name="TRINIDAD_AND_TOBAGO">#REF!</definedName>
    <definedName name="TUNISIA">#REF!</definedName>
    <definedName name="TURKEY">#REF!</definedName>
    <definedName name="TURKMENISTAN">#REF!</definedName>
    <definedName name="TURKS_AND_CAICOS_ISLANDS">#REF!</definedName>
    <definedName name="TUVALU">#REF!</definedName>
    <definedName name="UGANDA">#REF!</definedName>
    <definedName name="UKRAINE">#REF!</definedName>
    <definedName name="UNITED_ARAB_EMIRATES">#REF!</definedName>
    <definedName name="UNITED_KINGDOM">#REF!</definedName>
    <definedName name="URUGUAY">#REF!</definedName>
    <definedName name="UZBEKISTAN">#REF!</definedName>
    <definedName name="VANUATU">#REF!</definedName>
    <definedName name="VENEZUELA">#REF!</definedName>
    <definedName name="VIETNAM">#REF!</definedName>
    <definedName name="VIRGIN_ISLANDS_US">#REF!</definedName>
    <definedName name="WAKE_ISLAND">#REF!</definedName>
    <definedName name="WALLIS_AND_FUTUNA">#REF!</definedName>
    <definedName name="YEMEN">#REF!</definedName>
    <definedName name="ZAMBIA">#REF!</definedName>
    <definedName name="ZIMBABWE">#REF!</definedName>
  </definedNames>
  <calcPr calcId="162913"/>
</workbook>
</file>

<file path=xl/calcChain.xml><?xml version="1.0" encoding="utf-8"?>
<calcChain xmlns="http://schemas.openxmlformats.org/spreadsheetml/2006/main">
  <c r="B2" i="1" l="1"/>
  <c r="B3" i="1"/>
  <c r="B4" i="1"/>
  <c r="C18" i="1" s="1"/>
  <c r="B5" i="1"/>
  <c r="E49" i="1"/>
  <c r="B6" i="1"/>
  <c r="D49" i="1"/>
  <c r="B49" i="1"/>
  <c r="E57" i="1"/>
  <c r="B57" i="1"/>
  <c r="C49" i="1"/>
  <c r="C57" i="1"/>
  <c r="D57" i="1"/>
  <c r="L23" i="4"/>
  <c r="B7" i="1"/>
  <c r="E23" i="4"/>
  <c r="D56" i="1" l="1"/>
  <c r="E20" i="1"/>
  <c r="E23" i="1"/>
  <c r="B17" i="1"/>
  <c r="E17" i="1"/>
  <c r="E56" i="1"/>
  <c r="D17" i="1"/>
  <c r="B56" i="1"/>
  <c r="E68" i="1"/>
  <c r="C17" i="1"/>
  <c r="E19" i="1"/>
  <c r="B13" i="1"/>
  <c r="B14" i="1" s="1"/>
  <c r="E18" i="1"/>
  <c r="B12" i="1"/>
  <c r="B11" i="1"/>
  <c r="B10" i="1"/>
  <c r="J10" i="4" s="1"/>
  <c r="B24" i="1"/>
  <c r="D68" i="1"/>
  <c r="C23" i="1"/>
  <c r="C56" i="1"/>
  <c r="B25" i="1" l="1"/>
  <c r="C25" i="1"/>
  <c r="C26" i="1" s="1"/>
  <c r="C28" i="1" s="1"/>
  <c r="D50" i="1"/>
  <c r="D22" i="1"/>
  <c r="D21" i="1"/>
  <c r="B62" i="1"/>
  <c r="E21" i="1"/>
  <c r="E32" i="1" s="1"/>
  <c r="E33" i="1" s="1"/>
  <c r="E71" i="1" s="1"/>
  <c r="E50" i="1"/>
  <c r="E22" i="1"/>
  <c r="B26" i="1"/>
  <c r="B28" i="1" s="1"/>
  <c r="B53" i="1"/>
  <c r="B58" i="1" s="1"/>
  <c r="B59" i="1" s="1"/>
  <c r="C53" i="1" l="1"/>
  <c r="C58" i="1" s="1"/>
  <c r="C59" i="1" s="1"/>
  <c r="E47" i="1"/>
  <c r="E48" i="1" s="1"/>
  <c r="E51" i="1" s="1"/>
  <c r="E52" i="1" s="1"/>
  <c r="B65" i="1" s="1"/>
  <c r="E25" i="1"/>
  <c r="E26" i="1" s="1"/>
  <c r="D32" i="1"/>
  <c r="D33" i="1" s="1"/>
  <c r="D71" i="1" s="1"/>
  <c r="D25" i="1"/>
  <c r="D47" i="1"/>
  <c r="D48" i="1" s="1"/>
  <c r="D51" i="1" s="1"/>
  <c r="D52" i="1" s="1"/>
  <c r="C54" i="1"/>
  <c r="C55" i="1" s="1"/>
  <c r="C27" i="1"/>
  <c r="B27" i="1"/>
  <c r="B29" i="1" s="1"/>
  <c r="B54" i="1"/>
  <c r="B55" i="1" s="1"/>
  <c r="B42" i="1" l="1"/>
  <c r="E25" i="4" s="1"/>
  <c r="E53" i="1"/>
  <c r="B63" i="1" s="1"/>
  <c r="E72" i="1"/>
  <c r="E73" i="1" s="1"/>
  <c r="D72" i="1"/>
  <c r="D73" i="1" s="1"/>
  <c r="D53" i="1"/>
  <c r="D58" i="1" s="1"/>
  <c r="D59" i="1" s="1"/>
  <c r="D26" i="1"/>
  <c r="D28" i="1" s="1"/>
  <c r="E28" i="1"/>
  <c r="B43" i="1" s="1"/>
  <c r="E26" i="4" s="1"/>
  <c r="E34" i="1"/>
  <c r="E35" i="1" s="1"/>
  <c r="E36" i="1" s="1"/>
  <c r="E69" i="1" s="1"/>
  <c r="E70" i="1" s="1"/>
  <c r="E37" i="1" s="1"/>
  <c r="E54" i="1"/>
  <c r="E55" i="1" s="1"/>
  <c r="C29" i="1"/>
  <c r="E58" i="1" l="1"/>
  <c r="E59" i="1" s="1"/>
  <c r="B64" i="1" s="1"/>
  <c r="E27" i="1"/>
  <c r="B44" i="1"/>
  <c r="E27" i="4" s="1"/>
  <c r="D34" i="1"/>
  <c r="D35" i="1" s="1"/>
  <c r="D36" i="1" s="1"/>
  <c r="D69" i="1" s="1"/>
  <c r="D70" i="1" s="1"/>
  <c r="D54" i="1"/>
  <c r="D55" i="1" s="1"/>
  <c r="D37" i="1" l="1"/>
  <c r="D27" i="1" s="1"/>
  <c r="D29" i="1" s="1"/>
  <c r="E29" i="1"/>
  <c r="B40" i="1" s="1"/>
  <c r="E22" i="4" s="1"/>
  <c r="B41" i="1"/>
  <c r="E24" i="4" s="1"/>
  <c r="L26" i="4" l="1"/>
  <c r="L27" i="4"/>
  <c r="L25" i="4"/>
  <c r="L24" i="4"/>
</calcChain>
</file>

<file path=xl/sharedStrings.xml><?xml version="1.0" encoding="utf-8"?>
<sst xmlns="http://schemas.openxmlformats.org/spreadsheetml/2006/main" count="115" uniqueCount="93">
  <si>
    <t>Terminal Leave Calculator</t>
  </si>
  <si>
    <t>Member Information</t>
  </si>
  <si>
    <t>Your Date of Separation (DOS)</t>
  </si>
  <si>
    <t>* What is your current leave balance on your LES?</t>
  </si>
  <si>
    <r>
      <t>(</t>
    </r>
    <r>
      <rPr>
        <b/>
        <sz val="8"/>
        <color indexed="63"/>
        <rFont val="Verdana"/>
        <family val="2"/>
      </rPr>
      <t>Cr Bal</t>
    </r>
    <r>
      <rPr>
        <sz val="8"/>
        <color indexed="63"/>
        <rFont val="Verdana"/>
        <family val="2"/>
      </rPr>
      <t xml:space="preserve"> block from LES)</t>
    </r>
  </si>
  <si>
    <t>What is the date of your LES?</t>
  </si>
  <si>
    <t>Planned # of days ordinary leave prior to 30 Sep, if applicable</t>
  </si>
  <si>
    <t>Planned # of days ordinary leave after 30 Sep, if applicable</t>
  </si>
  <si>
    <t>* Number of leave days sold in career, if applicable</t>
  </si>
  <si>
    <r>
      <t>(</t>
    </r>
    <r>
      <rPr>
        <b/>
        <sz val="8"/>
        <color indexed="63"/>
        <rFont val="Verdana"/>
        <family val="2"/>
      </rPr>
      <t>Lv Paid</t>
    </r>
    <r>
      <rPr>
        <sz val="8"/>
        <color indexed="63"/>
        <rFont val="Verdana"/>
        <family val="2"/>
      </rPr>
      <t xml:space="preserve"> block from LES)</t>
    </r>
  </si>
  <si>
    <t>* Log into myPay to view your current LES and obtain your leave information @</t>
  </si>
  <si>
    <t>https://mypay.dfas.mil</t>
  </si>
  <si>
    <t>Leave Dates</t>
  </si>
  <si>
    <t>Earliest Possible Terminal Leave Start Date Calculation</t>
  </si>
  <si>
    <t>Pick Your Terminal Leave Start Date Calculation</t>
  </si>
  <si>
    <r>
      <t xml:space="preserve">First day you </t>
    </r>
    <r>
      <rPr>
        <b/>
        <i/>
        <sz val="8"/>
        <color indexed="63"/>
        <rFont val="Verdana"/>
        <family val="2"/>
      </rPr>
      <t>may</t>
    </r>
    <r>
      <rPr>
        <sz val="8"/>
        <color indexed="63"/>
        <rFont val="Verdana"/>
        <family val="2"/>
      </rPr>
      <t xml:space="preserve"> start Terminal Leave</t>
    </r>
  </si>
  <si>
    <t>First day you would like to start Terminal Leave?</t>
  </si>
  <si>
    <t>Last day of Terminal Leave</t>
  </si>
  <si>
    <t>Last day of Terminal Leave?</t>
  </si>
  <si>
    <t>Number of days Terminal Leave</t>
  </si>
  <si>
    <t>Total leave balance through DOS</t>
  </si>
  <si>
    <t>* Number of days leave sold at DOS</t>
  </si>
  <si>
    <t># days lost leave at end of FY, if applicable</t>
  </si>
  <si>
    <t>* Any leave not taken (max 60 in a career) is sold to you automatically and will reflect in your FINAL paycheck</t>
  </si>
  <si>
    <t>Calculation Values</t>
  </si>
  <si>
    <t>Factor</t>
  </si>
  <si>
    <t>Value</t>
  </si>
  <si>
    <t>Description</t>
  </si>
  <si>
    <t>Maximum leave balance auth to carry forward:</t>
  </si>
  <si>
    <t>Current rule for maximum leave balance a member can carry forward in a FY.</t>
  </si>
  <si>
    <t>Maximum leave a member may sell in a career:</t>
  </si>
  <si>
    <t>Current rule for the maximu leave a member may sell in a career.</t>
  </si>
  <si>
    <t>DOS</t>
  </si>
  <si>
    <t>Lv &lt; 30 Sep</t>
  </si>
  <si>
    <t>Lv &gt; 30 Sep</t>
  </si>
  <si>
    <t>Earlier than 330 days</t>
  </si>
  <si>
    <t>Lv bal</t>
  </si>
  <si>
    <t>LES date</t>
  </si>
  <si>
    <t>Lv sold</t>
  </si>
  <si>
    <t>Cross FY</t>
  </si>
  <si>
    <t>Cross CY</t>
  </si>
  <si>
    <t>Date Checks</t>
  </si>
  <si>
    <t>Cross FY &amp; CY</t>
  </si>
  <si>
    <t xml:space="preserve">Same CY &amp; Cross FY </t>
  </si>
  <si>
    <t>Lv for whole mos</t>
  </si>
  <si>
    <t>Lv for DOS mo</t>
  </si>
  <si>
    <t>Lv bal as of DOS</t>
  </si>
  <si>
    <t>Lv earned from LES to 30 Sep</t>
  </si>
  <si>
    <t>Lv earned from 30 Sep to DOS (not incl DOS mo)</t>
  </si>
  <si>
    <t>Last day of FY (if same CY)</t>
  </si>
  <si>
    <t>Last day of FY (if cross CY)</t>
  </si>
  <si>
    <t>Lv earned from LES to end of CY</t>
  </si>
  <si>
    <t>Lv earned from beginning of CY to 30 Sep</t>
  </si>
  <si>
    <t>Leave Calculations</t>
  </si>
  <si>
    <t>Use/Lose Calculations</t>
  </si>
  <si>
    <t>Potential use/lose bal</t>
  </si>
  <si>
    <t>Proj lv start date</t>
  </si>
  <si>
    <t>Use/lose lv used during term lv</t>
  </si>
  <si>
    <t>Actual use/lose</t>
  </si>
  <si>
    <t>Lv days available for use (not incl lv lost)</t>
  </si>
  <si>
    <t>Lv days available for use (incl lv lost)</t>
  </si>
  <si>
    <t>Earliest possible lv start date</t>
  </si>
  <si>
    <t>Lv earned from 30 Sep to end of CY</t>
  </si>
  <si>
    <t>Lv bal as of 30 Sep</t>
  </si>
  <si>
    <t>Days between proj lv start date and 30 Sep</t>
  </si>
  <si>
    <t>Same FY &amp; Cross CY</t>
  </si>
  <si>
    <t>Lv earned from beginning of CY to DOS (not incl DOS mo)</t>
  </si>
  <si>
    <t>Same FY &amp; CY</t>
  </si>
  <si>
    <t># days leave sold at DOS</t>
  </si>
  <si>
    <t># lv days lost</t>
  </si>
  <si>
    <t>Number of days term lv</t>
  </si>
  <si>
    <t>Pick Your Terminal Leave Calculations</t>
  </si>
  <si>
    <t>Term lv start date</t>
  </si>
  <si>
    <t>#days lv sold at DOS</t>
  </si>
  <si>
    <t>Eligibility</t>
  </si>
  <si>
    <t>Related Links</t>
  </si>
  <si>
    <t>AFI 36-3003, Military Leave Program</t>
  </si>
  <si>
    <t>Lv days used during term lv</t>
  </si>
  <si>
    <t># days lv auth to sell</t>
  </si>
  <si>
    <t>Potential lv sold</t>
  </si>
  <si>
    <t>Actual lv sold</t>
  </si>
  <si>
    <t>Actual lv lost</t>
  </si>
  <si>
    <t>Earliest Possible Terminal Leave Start Date Calculations</t>
  </si>
  <si>
    <t>Pick Your Terminal Leave Start Date Calculations</t>
  </si>
  <si>
    <t>Use/lose lv days used during term lv?</t>
  </si>
  <si>
    <t>DOS = 22-30 Dec?</t>
  </si>
  <si>
    <t>Both criteria "Yes"</t>
  </si>
  <si>
    <t>Leave lost</t>
  </si>
  <si>
    <t>Dec 22-30 Test Use/Lose</t>
  </si>
  <si>
    <r>
      <t xml:space="preserve">Disclaimer: This calculator has been designed to provide you with an estimate of your terminal leave start date in conjunction with separation or retirement; </t>
    </r>
    <r>
      <rPr>
        <i/>
        <sz val="8"/>
        <rFont val="Verdana"/>
        <family val="2"/>
      </rPr>
      <t>your actual authorized terminal leave start date may vary and is subject to approval by your Commander</t>
    </r>
  </si>
  <si>
    <t>http://static.e-publishing.af.mil/production/1/af_a1/publication/afi36-3003/afi36-3003.pdf</t>
  </si>
  <si>
    <r>
      <t xml:space="preserve">Welcome to the Terminal Leave Calculator!
Terminal leave is the final leave taken in conjunction w/ separation or retirement. Terminal leave must be approved by your Commander and actual authorized leave dates must be verified by your servicing Finance Office
</t>
    </r>
    <r>
      <rPr>
        <b/>
        <sz val="8"/>
        <rFont val="Verdana"/>
        <family val="2"/>
      </rPr>
      <t>Permissive TDY:</t>
    </r>
    <r>
      <rPr>
        <sz val="8"/>
        <rFont val="Verdana"/>
        <family val="2"/>
      </rPr>
      <t xml:space="preserve">
Depending upon your type of separation, as determined by your servicing Personnel Office, you may also be entitled to take Permissive TDY prior to Terminal Leave; refer to AFI 36-3003. Retirees are automatically authorized Permissive TDY, pending commander approval, prior to Terminal Leave in conjunction with retirement; refer to AFI 36-3003.</t>
    </r>
  </si>
  <si>
    <t>Military members wishing to estimate their terminal leave dates in conjunction with separation or retirement.  This is an estimate only, please see your local Finance Office for assistance with actual authorization.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</si>
</sst>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
    <numFmt numFmtId="166" formatCode="mm/yyyy"/>
  </numFmts>
  <fonts count="34" x14ac:knownFonts="1">
    <font>
      <sz val="10"/>
      <name val="Arial"/>
    </font>
    <font>
      <sz val="10"/>
      <name val="Arial"/>
    </font>
    <font>
      <sz val="10"/>
      <name val="Verdana"/>
      <family val="2"/>
    </font>
    <font>
      <b/>
      <sz val="18"/>
      <color indexed="54"/>
      <name val="Garamond"/>
      <family val="1"/>
    </font>
    <font>
      <sz val="8"/>
      <name val="Verdana"/>
      <family val="2"/>
    </font>
    <font>
      <i/>
      <sz val="8"/>
      <name val="Verdana"/>
      <family val="2"/>
    </font>
    <font>
      <b/>
      <sz val="12"/>
      <color indexed="54"/>
      <name val="Verdana"/>
      <family val="2"/>
    </font>
    <font>
      <sz val="8"/>
      <color indexed="63"/>
      <name val="Verdana"/>
      <family val="2"/>
    </font>
    <font>
      <b/>
      <sz val="8"/>
      <color indexed="63"/>
      <name val="Verdana"/>
      <family val="2"/>
    </font>
    <font>
      <b/>
      <sz val="10"/>
      <color indexed="10"/>
      <name val="Verdana"/>
      <family val="2"/>
    </font>
    <font>
      <u/>
      <sz val="8"/>
      <color indexed="12"/>
      <name val="Verdana"/>
      <family val="2"/>
    </font>
    <font>
      <u/>
      <sz val="10"/>
      <color indexed="12"/>
      <name val="Verdana"/>
      <family val="2"/>
    </font>
    <font>
      <b/>
      <i/>
      <sz val="8"/>
      <color indexed="63"/>
      <name val="Verdana"/>
      <family val="2"/>
    </font>
    <font>
      <i/>
      <sz val="8"/>
      <color indexed="63"/>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color indexed="12"/>
      <name val="Verdana"/>
      <family val="2"/>
    </font>
    <font>
      <sz val="8"/>
      <name val="Arial"/>
    </font>
    <font>
      <b/>
      <sz val="8"/>
      <name val="Verdana"/>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11"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2" fillId="0" borderId="0"/>
    <xf numFmtId="0" fontId="1" fillId="23" borderId="7" applyNumberFormat="0" applyFont="0" applyAlignment="0" applyProtection="0"/>
    <xf numFmtId="0" fontId="27" fillId="20"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cellStyleXfs>
  <cellXfs count="101">
    <xf numFmtId="0" fontId="0" fillId="0" borderId="0" xfId="0"/>
    <xf numFmtId="0" fontId="2" fillId="0" borderId="0" xfId="38" applyProtection="1"/>
    <xf numFmtId="0" fontId="3" fillId="0" borderId="0" xfId="38" applyFont="1" applyAlignment="1" applyProtection="1">
      <alignment horizontal="left" vertical="center"/>
    </xf>
    <xf numFmtId="0" fontId="3" fillId="0" borderId="0" xfId="38" applyFont="1" applyAlignment="1" applyProtection="1">
      <alignment vertical="center"/>
    </xf>
    <xf numFmtId="0" fontId="2" fillId="0" borderId="0" xfId="38" applyBorder="1" applyAlignment="1" applyProtection="1"/>
    <xf numFmtId="0" fontId="6" fillId="0" borderId="10" xfId="38" applyFont="1" applyBorder="1" applyAlignment="1" applyProtection="1"/>
    <xf numFmtId="0" fontId="6" fillId="0" borderId="11" xfId="38" applyFont="1" applyBorder="1" applyAlignment="1" applyProtection="1"/>
    <xf numFmtId="0" fontId="7" fillId="0" borderId="12" xfId="38" applyFont="1" applyBorder="1" applyAlignment="1" applyProtection="1">
      <alignment vertical="center"/>
    </xf>
    <xf numFmtId="0" fontId="7" fillId="0" borderId="0" xfId="38" applyFont="1" applyBorder="1" applyAlignment="1" applyProtection="1">
      <alignment vertical="center"/>
    </xf>
    <xf numFmtId="0" fontId="7" fillId="0" borderId="13" xfId="38" applyFont="1" applyBorder="1" applyAlignment="1" applyProtection="1">
      <alignment vertical="center"/>
    </xf>
    <xf numFmtId="0" fontId="2" fillId="0" borderId="12" xfId="38" applyBorder="1" applyProtection="1"/>
    <xf numFmtId="0" fontId="7" fillId="0" borderId="0" xfId="38" applyFont="1" applyBorder="1" applyAlignment="1" applyProtection="1">
      <alignment horizontal="right" vertical="center"/>
    </xf>
    <xf numFmtId="14" fontId="4" fillId="24" borderId="1" xfId="38" applyNumberFormat="1" applyFont="1" applyFill="1" applyBorder="1" applyAlignment="1" applyProtection="1">
      <alignment horizontal="center" vertical="center"/>
      <protection locked="0"/>
    </xf>
    <xf numFmtId="0" fontId="7" fillId="0" borderId="0" xfId="38" applyFont="1" applyBorder="1" applyAlignment="1" applyProtection="1"/>
    <xf numFmtId="0" fontId="2" fillId="0" borderId="0" xfId="38" applyBorder="1" applyProtection="1"/>
    <xf numFmtId="0" fontId="2" fillId="0" borderId="13" xfId="38" applyBorder="1" applyProtection="1"/>
    <xf numFmtId="0" fontId="4" fillId="24" borderId="1" xfId="38" applyFont="1" applyFill="1" applyBorder="1" applyAlignment="1" applyProtection="1">
      <alignment horizontal="center" vertical="center"/>
      <protection locked="0"/>
    </xf>
    <xf numFmtId="0" fontId="7" fillId="0" borderId="13" xfId="38" applyFont="1" applyBorder="1" applyAlignment="1" applyProtection="1">
      <alignment horizontal="left" vertical="center"/>
    </xf>
    <xf numFmtId="0" fontId="4" fillId="24" borderId="1" xfId="38" applyNumberFormat="1" applyFont="1" applyFill="1" applyBorder="1" applyAlignment="1" applyProtection="1">
      <alignment horizontal="center" vertical="center"/>
      <protection locked="0"/>
    </xf>
    <xf numFmtId="16" fontId="7" fillId="0" borderId="0" xfId="38" applyNumberFormat="1" applyFont="1" applyBorder="1" applyAlignment="1" applyProtection="1"/>
    <xf numFmtId="0" fontId="2" fillId="0" borderId="14" xfId="38" applyBorder="1" applyAlignment="1" applyProtection="1"/>
    <xf numFmtId="0" fontId="2" fillId="0" borderId="15" xfId="38" applyBorder="1" applyAlignment="1" applyProtection="1"/>
    <xf numFmtId="0" fontId="2" fillId="0" borderId="16" xfId="38" applyBorder="1" applyAlignment="1" applyProtection="1"/>
    <xf numFmtId="0" fontId="7" fillId="0" borderId="17" xfId="38" applyFont="1" applyBorder="1" applyAlignment="1" applyProtection="1">
      <alignment vertical="center"/>
    </xf>
    <xf numFmtId="0" fontId="7" fillId="0" borderId="11" xfId="38" applyFont="1" applyBorder="1" applyAlignment="1" applyProtection="1">
      <alignment vertical="center"/>
    </xf>
    <xf numFmtId="0" fontId="7" fillId="0" borderId="10" xfId="38" applyFont="1" applyBorder="1" applyAlignment="1" applyProtection="1">
      <alignment vertical="center"/>
    </xf>
    <xf numFmtId="0" fontId="8" fillId="0" borderId="0" xfId="38" applyFont="1" applyBorder="1" applyAlignment="1" applyProtection="1">
      <alignment horizontal="center" vertical="center"/>
    </xf>
    <xf numFmtId="0" fontId="8" fillId="0" borderId="15" xfId="38" applyFont="1" applyBorder="1" applyAlignment="1" applyProtection="1">
      <alignment horizontal="center" vertical="center"/>
    </xf>
    <xf numFmtId="14" fontId="4" fillId="25" borderId="1" xfId="38" applyNumberFormat="1" applyFont="1" applyFill="1" applyBorder="1" applyAlignment="1" applyProtection="1">
      <alignment horizontal="center" vertical="center"/>
    </xf>
    <xf numFmtId="0" fontId="7" fillId="0" borderId="13" xfId="38" applyFont="1" applyBorder="1" applyAlignment="1" applyProtection="1">
      <alignment horizontal="right" vertical="center"/>
    </xf>
    <xf numFmtId="0" fontId="7" fillId="0" borderId="0" xfId="38" applyFont="1" applyBorder="1" applyAlignment="1" applyProtection="1">
      <alignment horizontal="center" vertical="center"/>
    </xf>
    <xf numFmtId="14" fontId="4" fillId="0" borderId="1" xfId="38" applyNumberFormat="1" applyFont="1" applyBorder="1" applyAlignment="1" applyProtection="1">
      <alignment horizontal="center" vertical="center"/>
    </xf>
    <xf numFmtId="0" fontId="0" fillId="0" borderId="13" xfId="0" applyBorder="1" applyAlignment="1" applyProtection="1"/>
    <xf numFmtId="1" fontId="4" fillId="0" borderId="1" xfId="38" applyNumberFormat="1" applyFont="1" applyBorder="1" applyAlignment="1" applyProtection="1">
      <alignment horizontal="center" vertical="center"/>
    </xf>
    <xf numFmtId="0" fontId="7" fillId="0" borderId="14" xfId="38" applyFont="1" applyBorder="1" applyAlignment="1" applyProtection="1">
      <alignment vertical="center"/>
    </xf>
    <xf numFmtId="0" fontId="7" fillId="0" borderId="15" xfId="38" applyFont="1" applyBorder="1" applyAlignment="1" applyProtection="1">
      <alignment horizontal="right" vertical="center"/>
    </xf>
    <xf numFmtId="0" fontId="7" fillId="0" borderId="16" xfId="38" applyFont="1" applyBorder="1" applyAlignment="1" applyProtection="1">
      <alignment horizontal="right" vertical="center"/>
    </xf>
    <xf numFmtId="1" fontId="4" fillId="0" borderId="15" xfId="38" applyNumberFormat="1" applyFont="1" applyBorder="1" applyAlignment="1" applyProtection="1">
      <alignment horizontal="center"/>
    </xf>
    <xf numFmtId="164" fontId="4" fillId="0" borderId="15" xfId="38" applyNumberFormat="1" applyFont="1" applyBorder="1" applyAlignment="1" applyProtection="1"/>
    <xf numFmtId="0" fontId="7" fillId="0" borderId="15" xfId="38" applyFont="1" applyBorder="1" applyAlignment="1" applyProtection="1"/>
    <xf numFmtId="0" fontId="7" fillId="0" borderId="16" xfId="38" applyFont="1" applyBorder="1" applyAlignment="1" applyProtection="1">
      <alignment horizontal="left" vertical="center"/>
    </xf>
    <xf numFmtId="0" fontId="6" fillId="0" borderId="0" xfId="38" applyFont="1" applyBorder="1" applyAlignment="1" applyProtection="1"/>
    <xf numFmtId="0" fontId="4" fillId="0" borderId="0" xfId="38" applyFont="1" applyBorder="1" applyProtection="1"/>
    <xf numFmtId="0" fontId="3" fillId="0" borderId="0" xfId="38" applyFont="1" applyAlignment="1">
      <alignment horizontal="left" vertical="center"/>
    </xf>
    <xf numFmtId="0" fontId="3" fillId="0" borderId="0" xfId="38" applyNumberFormat="1" applyFont="1" applyAlignment="1">
      <alignment horizontal="left" vertical="center"/>
    </xf>
    <xf numFmtId="0" fontId="3" fillId="0" borderId="0" xfId="38" applyFont="1" applyAlignment="1"/>
    <xf numFmtId="0" fontId="2" fillId="0" borderId="0" xfId="38"/>
    <xf numFmtId="0" fontId="6" fillId="26" borderId="1" xfId="38" applyFont="1" applyFill="1" applyBorder="1" applyAlignment="1">
      <alignment horizontal="center"/>
    </xf>
    <xf numFmtId="0" fontId="6" fillId="26" borderId="1" xfId="38" applyNumberFormat="1" applyFont="1" applyFill="1" applyBorder="1" applyAlignment="1">
      <alignment horizontal="center"/>
    </xf>
    <xf numFmtId="0" fontId="6" fillId="0" borderId="0" xfId="38" applyFont="1" applyBorder="1" applyAlignment="1"/>
    <xf numFmtId="0" fontId="4" fillId="0" borderId="1" xfId="38" applyFont="1" applyBorder="1" applyAlignment="1">
      <alignment horizontal="right" vertical="center"/>
    </xf>
    <xf numFmtId="0" fontId="4" fillId="0" borderId="1" xfId="38" applyNumberFormat="1" applyFont="1" applyBorder="1" applyAlignment="1">
      <alignment horizontal="center" vertical="center"/>
    </xf>
    <xf numFmtId="0" fontId="4" fillId="0" borderId="1" xfId="38" applyFont="1" applyBorder="1" applyAlignment="1">
      <alignment wrapText="1"/>
    </xf>
    <xf numFmtId="0" fontId="2" fillId="0" borderId="0" xfId="38" applyNumberFormat="1"/>
    <xf numFmtId="0" fontId="4" fillId="0" borderId="0" xfId="0" applyFont="1"/>
    <xf numFmtId="0" fontId="33" fillId="0" borderId="0" xfId="0" applyFont="1"/>
    <xf numFmtId="14" fontId="4" fillId="0" borderId="0" xfId="38" applyNumberFormat="1" applyFont="1" applyFill="1" applyBorder="1" applyAlignment="1" applyProtection="1">
      <alignment horizontal="center" vertical="center"/>
    </xf>
    <xf numFmtId="0" fontId="4" fillId="0" borderId="0" xfId="38" applyNumberFormat="1" applyFont="1" applyFill="1" applyBorder="1" applyAlignment="1" applyProtection="1">
      <alignment horizontal="center" vertical="center"/>
    </xf>
    <xf numFmtId="0" fontId="4" fillId="0" borderId="0" xfId="0" applyFont="1" applyAlignment="1">
      <alignment horizontal="center"/>
    </xf>
    <xf numFmtId="0" fontId="4" fillId="0" borderId="0" xfId="38" applyNumberFormat="1" applyFont="1" applyBorder="1" applyAlignment="1" applyProtection="1">
      <alignment horizontal="center" vertical="center"/>
    </xf>
    <xf numFmtId="0" fontId="33" fillId="0" borderId="0" xfId="0" applyFont="1" applyAlignment="1">
      <alignment horizontal="center"/>
    </xf>
    <xf numFmtId="14" fontId="4" fillId="0" borderId="0" xfId="0" applyNumberFormat="1" applyFont="1" applyAlignment="1">
      <alignment horizontal="center"/>
    </xf>
    <xf numFmtId="166" fontId="4" fillId="0" borderId="0" xfId="0" applyNumberFormat="1" applyFont="1" applyAlignment="1">
      <alignment horizontal="center"/>
    </xf>
    <xf numFmtId="165" fontId="4" fillId="0" borderId="0" xfId="0" applyNumberFormat="1" applyFont="1" applyAlignment="1">
      <alignment horizontal="center"/>
    </xf>
    <xf numFmtId="0" fontId="4" fillId="0" borderId="0" xfId="38" applyFont="1" applyBorder="1" applyAlignment="1" applyProtection="1">
      <alignment horizontal="left" vertical="center"/>
    </xf>
    <xf numFmtId="0" fontId="4" fillId="0" borderId="12" xfId="38" applyFont="1" applyBorder="1" applyAlignment="1" applyProtection="1">
      <alignment vertical="center"/>
    </xf>
    <xf numFmtId="0" fontId="4" fillId="0" borderId="0" xfId="0" applyNumberFormat="1" applyFont="1" applyAlignment="1">
      <alignment horizontal="center"/>
    </xf>
    <xf numFmtId="165" fontId="4" fillId="0" borderId="1" xfId="38" applyNumberFormat="1" applyFont="1" applyBorder="1" applyAlignment="1" applyProtection="1">
      <alignment horizontal="center" vertical="center"/>
    </xf>
    <xf numFmtId="0" fontId="3" fillId="0" borderId="0" xfId="38" applyFont="1" applyAlignment="1">
      <alignment vertical="center"/>
    </xf>
    <xf numFmtId="0" fontId="6" fillId="0" borderId="0" xfId="38" applyFont="1" applyBorder="1" applyAlignment="1">
      <alignment horizontal="left"/>
    </xf>
    <xf numFmtId="0" fontId="6" fillId="0" borderId="13" xfId="38" applyFont="1" applyBorder="1" applyAlignment="1"/>
    <xf numFmtId="0" fontId="4" fillId="0" borderId="0" xfId="38" applyNumberFormat="1" applyFont="1" applyBorder="1" applyAlignment="1">
      <alignment vertical="top" wrapText="1"/>
    </xf>
    <xf numFmtId="0" fontId="2" fillId="0" borderId="0" xfId="38" applyFont="1"/>
    <xf numFmtId="0" fontId="33" fillId="0" borderId="0" xfId="38" applyNumberFormat="1" applyFont="1" applyBorder="1" applyAlignment="1">
      <alignment vertical="top" wrapText="1"/>
    </xf>
    <xf numFmtId="0" fontId="10" fillId="0" borderId="0" xfId="34" applyFont="1" applyAlignment="1" applyProtection="1"/>
    <xf numFmtId="0" fontId="11" fillId="0" borderId="0" xfId="34" applyNumberFormat="1" applyBorder="1" applyAlignment="1" applyProtection="1">
      <alignment vertical="top" wrapText="1"/>
    </xf>
    <xf numFmtId="0" fontId="33" fillId="0" borderId="0" xfId="0" applyFont="1" applyAlignment="1">
      <alignment wrapText="1"/>
    </xf>
    <xf numFmtId="0" fontId="6" fillId="0" borderId="0" xfId="38" applyFont="1" applyBorder="1" applyAlignment="1">
      <alignment horizontal="left"/>
    </xf>
    <xf numFmtId="0" fontId="7" fillId="0" borderId="0" xfId="38" applyFont="1" applyBorder="1" applyAlignment="1" applyProtection="1">
      <alignment horizontal="right" vertical="center"/>
    </xf>
    <xf numFmtId="0" fontId="31" fillId="0" borderId="0" xfId="34" applyFont="1" applyAlignment="1" applyProtection="1">
      <alignment horizontal="center"/>
    </xf>
    <xf numFmtId="0" fontId="8" fillId="0" borderId="10" xfId="38" applyFont="1" applyBorder="1" applyAlignment="1" applyProtection="1">
      <alignment horizontal="center" vertical="center"/>
    </xf>
    <xf numFmtId="0" fontId="6" fillId="0" borderId="17" xfId="38" applyFont="1" applyBorder="1" applyAlignment="1" applyProtection="1">
      <alignment horizontal="left"/>
    </xf>
    <xf numFmtId="0" fontId="6" fillId="0" borderId="10" xfId="38" applyFont="1" applyBorder="1" applyAlignment="1" applyProtection="1">
      <alignment horizontal="left"/>
    </xf>
    <xf numFmtId="0" fontId="7" fillId="0" borderId="12" xfId="38" applyFont="1" applyBorder="1" applyAlignment="1" applyProtection="1">
      <alignment horizontal="right" vertical="center"/>
    </xf>
    <xf numFmtId="0" fontId="2" fillId="0" borderId="0" xfId="38" applyFont="1" applyAlignment="1" applyProtection="1">
      <alignment horizontal="left"/>
    </xf>
    <xf numFmtId="0" fontId="2" fillId="0" borderId="10" xfId="38" applyBorder="1" applyAlignment="1" applyProtection="1">
      <alignment horizontal="center"/>
    </xf>
    <xf numFmtId="0" fontId="2" fillId="0" borderId="0" xfId="38" applyBorder="1" applyAlignment="1" applyProtection="1">
      <alignment horizontal="center"/>
    </xf>
    <xf numFmtId="0" fontId="13" fillId="0" borderId="17" xfId="38" applyFont="1" applyBorder="1" applyAlignment="1" applyProtection="1">
      <alignment horizontal="center" vertical="center" wrapText="1"/>
    </xf>
    <xf numFmtId="0" fontId="13" fillId="0" borderId="10" xfId="38" applyFont="1" applyBorder="1" applyAlignment="1" applyProtection="1">
      <alignment horizontal="center" vertical="center" wrapText="1"/>
    </xf>
    <xf numFmtId="0" fontId="13" fillId="0" borderId="11" xfId="38" applyFont="1" applyBorder="1" applyAlignment="1" applyProtection="1">
      <alignment horizontal="center" vertical="center" wrapText="1"/>
    </xf>
    <xf numFmtId="0" fontId="13" fillId="0" borderId="14" xfId="38" applyFont="1" applyBorder="1" applyAlignment="1" applyProtection="1">
      <alignment horizontal="center" vertical="center" wrapText="1"/>
    </xf>
    <xf numFmtId="0" fontId="13" fillId="0" borderId="15" xfId="38" applyFont="1" applyBorder="1" applyAlignment="1" applyProtection="1">
      <alignment horizontal="center" vertical="center" wrapText="1"/>
    </xf>
    <xf numFmtId="0" fontId="13" fillId="0" borderId="16" xfId="38" applyFont="1" applyBorder="1" applyAlignment="1" applyProtection="1">
      <alignment horizontal="center" vertical="center" wrapText="1"/>
    </xf>
    <xf numFmtId="0" fontId="3" fillId="0" borderId="0" xfId="38" applyFont="1" applyAlignment="1" applyProtection="1">
      <alignment horizontal="left" vertical="center"/>
    </xf>
    <xf numFmtId="0" fontId="10" fillId="0" borderId="0" xfId="34" applyFont="1" applyBorder="1" applyAlignment="1" applyProtection="1">
      <alignment horizontal="left" vertical="center"/>
    </xf>
    <xf numFmtId="0" fontId="10" fillId="0" borderId="13" xfId="34" applyFont="1" applyBorder="1" applyAlignment="1" applyProtection="1">
      <alignment horizontal="left" vertical="center"/>
    </xf>
    <xf numFmtId="0" fontId="7" fillId="0" borderId="0" xfId="38" applyFont="1" applyBorder="1" applyAlignment="1" applyProtection="1">
      <alignment horizontal="left" vertical="center"/>
    </xf>
    <xf numFmtId="0" fontId="7" fillId="0" borderId="13" xfId="38" applyFont="1" applyBorder="1" applyAlignment="1" applyProtection="1">
      <alignment horizontal="left" vertical="center"/>
    </xf>
    <xf numFmtId="0" fontId="9" fillId="0" borderId="0" xfId="38" applyFont="1" applyBorder="1" applyAlignment="1" applyProtection="1">
      <alignment horizontal="center"/>
    </xf>
    <xf numFmtId="0" fontId="9" fillId="0" borderId="13" xfId="38" applyFont="1" applyBorder="1" applyAlignment="1" applyProtection="1">
      <alignment horizontal="center"/>
    </xf>
    <xf numFmtId="0" fontId="4" fillId="0" borderId="0" xfId="0" applyFont="1" applyAlignment="1" applyProtection="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Military_PCS_Calculator_v2"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ypay.dfas.mi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election activeCell="B5" sqref="B5"/>
    </sheetView>
  </sheetViews>
  <sheetFormatPr defaultColWidth="10.28515625" defaultRowHeight="12.75" x14ac:dyDescent="0.2"/>
  <cols>
    <col min="1" max="1" width="3" style="46" customWidth="1"/>
    <col min="2" max="2" width="80.7109375" style="46" customWidth="1"/>
    <col min="3" max="16384" width="10.28515625" style="46"/>
  </cols>
  <sheetData>
    <row r="1" spans="1:21" ht="24.95" customHeight="1" x14ac:dyDescent="0.2">
      <c r="A1" s="68" t="s">
        <v>0</v>
      </c>
    </row>
    <row r="3" spans="1:21" ht="15" x14ac:dyDescent="0.2">
      <c r="A3" s="77" t="s">
        <v>27</v>
      </c>
      <c r="B3" s="77"/>
      <c r="C3" s="49"/>
      <c r="D3" s="49"/>
      <c r="E3" s="49"/>
      <c r="F3" s="49"/>
      <c r="G3" s="49"/>
      <c r="H3" s="49"/>
      <c r="I3" s="49"/>
      <c r="J3" s="49"/>
      <c r="K3" s="49"/>
      <c r="L3" s="49"/>
      <c r="M3" s="49"/>
      <c r="N3" s="49"/>
      <c r="O3" s="49"/>
      <c r="P3" s="49"/>
      <c r="Q3" s="49"/>
      <c r="R3" s="49"/>
      <c r="S3" s="49"/>
      <c r="T3" s="49"/>
      <c r="U3" s="70"/>
    </row>
    <row r="4" spans="1:21" ht="15" x14ac:dyDescent="0.2">
      <c r="A4" s="69"/>
      <c r="B4" s="69"/>
      <c r="C4" s="49"/>
      <c r="D4" s="49"/>
      <c r="E4" s="49"/>
      <c r="F4" s="49"/>
      <c r="G4" s="49"/>
      <c r="H4" s="49"/>
      <c r="I4" s="49"/>
      <c r="J4" s="49"/>
      <c r="K4" s="49"/>
      <c r="L4" s="49"/>
      <c r="M4" s="49"/>
      <c r="N4" s="49"/>
      <c r="O4" s="49"/>
      <c r="P4" s="49"/>
      <c r="Q4" s="49"/>
      <c r="R4" s="49"/>
      <c r="S4" s="49"/>
      <c r="T4" s="49"/>
      <c r="U4" s="49"/>
    </row>
    <row r="5" spans="1:21" ht="126" x14ac:dyDescent="0.2">
      <c r="B5" s="71" t="s">
        <v>91</v>
      </c>
    </row>
    <row r="7" spans="1:21" ht="15" x14ac:dyDescent="0.2">
      <c r="A7" s="77" t="s">
        <v>74</v>
      </c>
      <c r="B7" s="77"/>
    </row>
    <row r="8" spans="1:21" ht="15" x14ac:dyDescent="0.2">
      <c r="A8" s="69"/>
      <c r="B8" s="69"/>
    </row>
    <row r="9" spans="1:21" ht="31.5" x14ac:dyDescent="0.2">
      <c r="B9" s="71" t="s">
        <v>92</v>
      </c>
      <c r="D9" s="72"/>
    </row>
    <row r="11" spans="1:21" ht="15" x14ac:dyDescent="0.2">
      <c r="A11" s="77" t="s">
        <v>75</v>
      </c>
      <c r="B11" s="77"/>
    </row>
    <row r="12" spans="1:21" ht="15" x14ac:dyDescent="0.2">
      <c r="A12" s="69"/>
      <c r="B12" s="69"/>
    </row>
    <row r="13" spans="1:21" x14ac:dyDescent="0.2">
      <c r="B13" s="73" t="s">
        <v>76</v>
      </c>
    </row>
    <row r="14" spans="1:21" x14ac:dyDescent="0.2">
      <c r="B14" s="74" t="s">
        <v>90</v>
      </c>
    </row>
    <row r="15" spans="1:21" x14ac:dyDescent="0.2">
      <c r="B15" s="75"/>
    </row>
    <row r="16" spans="1:21" x14ac:dyDescent="0.2">
      <c r="B16" s="76"/>
    </row>
    <row r="17" spans="2:2" x14ac:dyDescent="0.2">
      <c r="B17" s="74"/>
    </row>
    <row r="19" spans="2:2" x14ac:dyDescent="0.2">
      <c r="B19" s="72"/>
    </row>
    <row r="20" spans="2:2" x14ac:dyDescent="0.2">
      <c r="B20" s="72"/>
    </row>
  </sheetData>
  <mergeCells count="3">
    <mergeCell ref="A7:B7"/>
    <mergeCell ref="A11:B11"/>
    <mergeCell ref="A3:B3"/>
  </mergeCells>
  <phoneticPr fontId="4"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B1:S33"/>
  <sheetViews>
    <sheetView showGridLines="0" tabSelected="1" topLeftCell="B1" zoomScaleNormal="100" workbookViewId="0">
      <selection activeCell="P35" sqref="P35"/>
    </sheetView>
  </sheetViews>
  <sheetFormatPr defaultColWidth="10.28515625" defaultRowHeight="12.75" x14ac:dyDescent="0.2"/>
  <cols>
    <col min="1" max="1" width="2.85546875" style="1" customWidth="1"/>
    <col min="2" max="2" width="1.85546875" style="1" customWidth="1"/>
    <col min="3" max="3" width="35.85546875" style="1" customWidth="1"/>
    <col min="4" max="4" width="2.5703125" style="1" customWidth="1"/>
    <col min="5" max="5" width="15.7109375" style="1" customWidth="1"/>
    <col min="6" max="7" width="1.5703125" style="1" customWidth="1"/>
    <col min="8" max="8" width="15.7109375" style="1" customWidth="1"/>
    <col min="9" max="9" width="1.5703125" style="1" customWidth="1"/>
    <col min="10" max="10" width="23" style="1" customWidth="1"/>
    <col min="11" max="11" width="2" style="1" customWidth="1"/>
    <col min="12" max="12" width="15.7109375" style="1" customWidth="1"/>
    <col min="13" max="13" width="3.42578125" style="1" customWidth="1"/>
    <col min="14" max="14" width="4.140625" style="1" customWidth="1"/>
    <col min="15" max="15" width="3" style="1" customWidth="1"/>
    <col min="16" max="16" width="6.42578125" style="1" customWidth="1"/>
    <col min="17" max="17" width="23" style="1" customWidth="1"/>
    <col min="18" max="16384" width="10.28515625" style="1"/>
  </cols>
  <sheetData>
    <row r="1" spans="2:19" ht="23.25" customHeight="1" x14ac:dyDescent="0.2">
      <c r="B1" s="93" t="s">
        <v>0</v>
      </c>
      <c r="C1" s="93"/>
      <c r="D1" s="93"/>
      <c r="E1" s="93"/>
      <c r="F1" s="93"/>
      <c r="G1" s="93"/>
      <c r="H1" s="93"/>
      <c r="I1" s="93"/>
      <c r="J1" s="93"/>
      <c r="K1" s="2"/>
      <c r="L1" s="2"/>
      <c r="M1" s="3"/>
      <c r="N1" s="3"/>
      <c r="O1" s="3"/>
    </row>
    <row r="2" spans="2:19" ht="12" customHeight="1" x14ac:dyDescent="0.2">
      <c r="B2" s="3"/>
      <c r="C2" s="3"/>
      <c r="D2" s="3"/>
      <c r="E2" s="3"/>
      <c r="F2" s="3"/>
      <c r="G2" s="3"/>
      <c r="H2" s="3"/>
      <c r="I2" s="3"/>
      <c r="J2" s="3"/>
      <c r="K2" s="3"/>
      <c r="L2" s="3"/>
      <c r="M2" s="3"/>
      <c r="N2" s="3"/>
      <c r="O2" s="3"/>
    </row>
    <row r="3" spans="2:19" ht="36" customHeight="1" x14ac:dyDescent="0.2">
      <c r="B3" s="100" t="s">
        <v>89</v>
      </c>
      <c r="C3" s="100"/>
      <c r="D3" s="100"/>
      <c r="E3" s="100"/>
      <c r="F3" s="100"/>
      <c r="G3" s="100"/>
      <c r="H3" s="100"/>
      <c r="I3" s="100"/>
      <c r="J3" s="100"/>
      <c r="K3" s="100"/>
      <c r="L3" s="100"/>
      <c r="M3" s="100"/>
      <c r="N3" s="3"/>
      <c r="O3" s="3"/>
    </row>
    <row r="4" spans="2:19" ht="12.75" customHeight="1" x14ac:dyDescent="0.2">
      <c r="B4" s="4"/>
      <c r="C4" s="4"/>
      <c r="D4" s="4"/>
      <c r="E4" s="4"/>
      <c r="F4" s="4"/>
      <c r="G4" s="4"/>
      <c r="H4" s="4"/>
      <c r="I4" s="4"/>
      <c r="J4" s="4"/>
      <c r="K4" s="4"/>
      <c r="L4" s="4"/>
      <c r="M4" s="4"/>
      <c r="N4" s="4"/>
      <c r="O4" s="4"/>
    </row>
    <row r="5" spans="2:19" ht="15.75" customHeight="1" x14ac:dyDescent="0.2">
      <c r="B5" s="81" t="s">
        <v>1</v>
      </c>
      <c r="C5" s="82"/>
      <c r="D5" s="82"/>
      <c r="E5" s="82"/>
      <c r="F5" s="5"/>
      <c r="G5" s="5"/>
      <c r="H5" s="5"/>
      <c r="I5" s="5"/>
      <c r="J5" s="5"/>
      <c r="K5" s="5"/>
      <c r="L5" s="5"/>
      <c r="M5" s="6"/>
      <c r="N5" s="41"/>
      <c r="O5" s="41"/>
      <c r="P5" s="14"/>
      <c r="Q5" s="14"/>
    </row>
    <row r="6" spans="2:19" ht="15.75" customHeight="1" x14ac:dyDescent="0.2">
      <c r="B6" s="7"/>
      <c r="C6" s="8"/>
      <c r="D6" s="8"/>
      <c r="E6" s="8"/>
      <c r="F6" s="8"/>
      <c r="G6" s="8"/>
      <c r="H6" s="8"/>
      <c r="I6" s="8"/>
      <c r="J6" s="8"/>
      <c r="K6" s="8"/>
      <c r="L6" s="8"/>
      <c r="M6" s="9"/>
      <c r="N6" s="8"/>
      <c r="O6" s="8"/>
      <c r="P6" s="14"/>
      <c r="Q6" s="14"/>
    </row>
    <row r="7" spans="2:19" ht="15.75" customHeight="1" x14ac:dyDescent="0.2">
      <c r="B7" s="7"/>
      <c r="C7" s="8"/>
      <c r="D7" s="8"/>
      <c r="E7" s="8"/>
      <c r="F7" s="8"/>
      <c r="G7" s="8"/>
      <c r="H7" s="8"/>
      <c r="I7" s="8"/>
      <c r="J7" s="8"/>
      <c r="K7" s="8"/>
      <c r="L7" s="8"/>
      <c r="M7" s="9"/>
      <c r="N7" s="8"/>
      <c r="O7" s="8"/>
      <c r="P7" s="14"/>
      <c r="Q7" s="14"/>
    </row>
    <row r="8" spans="2:19" ht="15.75" customHeight="1" x14ac:dyDescent="0.2">
      <c r="B8" s="10"/>
      <c r="C8" s="78" t="s">
        <v>2</v>
      </c>
      <c r="D8" s="78"/>
      <c r="E8" s="78"/>
      <c r="F8" s="11"/>
      <c r="G8" s="11"/>
      <c r="H8" s="12">
        <v>44439</v>
      </c>
      <c r="I8" s="13"/>
      <c r="J8" s="14"/>
      <c r="K8" s="14"/>
      <c r="L8" s="14"/>
      <c r="M8" s="15"/>
      <c r="N8" s="4"/>
      <c r="O8" s="4"/>
      <c r="P8" s="14"/>
      <c r="Q8" s="42"/>
    </row>
    <row r="9" spans="2:19" ht="15.75" customHeight="1" x14ac:dyDescent="0.2">
      <c r="B9" s="10"/>
      <c r="C9" s="78" t="s">
        <v>3</v>
      </c>
      <c r="D9" s="78"/>
      <c r="E9" s="78"/>
      <c r="F9" s="11"/>
      <c r="G9" s="11"/>
      <c r="H9" s="16">
        <v>75</v>
      </c>
      <c r="I9" s="8"/>
      <c r="J9" s="96" t="s">
        <v>4</v>
      </c>
      <c r="K9" s="96"/>
      <c r="L9" s="96"/>
      <c r="M9" s="97"/>
      <c r="N9" s="8"/>
      <c r="O9" s="8"/>
      <c r="P9" s="8"/>
      <c r="Q9" s="8"/>
      <c r="R9" s="8"/>
      <c r="S9" s="8"/>
    </row>
    <row r="10" spans="2:19" ht="15.75" customHeight="1" x14ac:dyDescent="0.2">
      <c r="B10" s="10"/>
      <c r="C10" s="78" t="s">
        <v>5</v>
      </c>
      <c r="D10" s="78"/>
      <c r="E10" s="78"/>
      <c r="F10" s="11"/>
      <c r="G10" s="11"/>
      <c r="H10" s="12">
        <v>44228</v>
      </c>
      <c r="I10" s="13"/>
      <c r="J10" s="98" t="str">
        <f>IF(Calculations!B10="Over 330!","LES must be &lt; 11 mos before DOS!","")</f>
        <v/>
      </c>
      <c r="K10" s="98"/>
      <c r="L10" s="98"/>
      <c r="M10" s="99"/>
      <c r="N10" s="4"/>
      <c r="O10" s="14"/>
      <c r="P10" s="14"/>
      <c r="Q10" s="42"/>
    </row>
    <row r="11" spans="2:19" ht="15.75" customHeight="1" x14ac:dyDescent="0.2">
      <c r="B11" s="10"/>
      <c r="C11" s="78" t="s">
        <v>6</v>
      </c>
      <c r="D11" s="78"/>
      <c r="E11" s="78"/>
      <c r="F11" s="11"/>
      <c r="G11" s="11"/>
      <c r="H11" s="16">
        <v>10</v>
      </c>
      <c r="I11" s="13"/>
      <c r="J11" s="96"/>
      <c r="K11" s="96"/>
      <c r="L11" s="96"/>
      <c r="M11" s="97"/>
      <c r="N11" s="4"/>
      <c r="O11" s="14"/>
      <c r="P11" s="14"/>
      <c r="Q11" s="42"/>
    </row>
    <row r="12" spans="2:19" ht="15.75" customHeight="1" x14ac:dyDescent="0.2">
      <c r="B12" s="10"/>
      <c r="C12" s="78" t="s">
        <v>7</v>
      </c>
      <c r="D12" s="78"/>
      <c r="E12" s="78"/>
      <c r="F12" s="11"/>
      <c r="G12" s="11"/>
      <c r="H12" s="16"/>
      <c r="I12" s="13"/>
      <c r="J12" s="96"/>
      <c r="K12" s="96"/>
      <c r="L12" s="96"/>
      <c r="M12" s="97"/>
      <c r="N12" s="4"/>
      <c r="O12" s="14"/>
      <c r="P12" s="14"/>
      <c r="Q12" s="42"/>
    </row>
    <row r="13" spans="2:19" ht="15.75" customHeight="1" x14ac:dyDescent="0.2">
      <c r="B13" s="10"/>
      <c r="C13" s="78" t="s">
        <v>8</v>
      </c>
      <c r="D13" s="78"/>
      <c r="E13" s="78"/>
      <c r="F13" s="11"/>
      <c r="G13" s="11"/>
      <c r="H13" s="18">
        <v>0</v>
      </c>
      <c r="I13" s="13"/>
      <c r="J13" s="96" t="s">
        <v>9</v>
      </c>
      <c r="K13" s="96"/>
      <c r="L13" s="96"/>
      <c r="M13" s="97"/>
      <c r="N13" s="4"/>
      <c r="O13" s="14"/>
      <c r="P13" s="14"/>
      <c r="Q13" s="42"/>
    </row>
    <row r="14" spans="2:19" ht="15.75" customHeight="1" x14ac:dyDescent="0.2">
      <c r="B14" s="10"/>
      <c r="C14" s="11"/>
      <c r="D14" s="11"/>
      <c r="E14" s="11"/>
      <c r="F14" s="11"/>
      <c r="G14" s="11"/>
      <c r="H14" s="19"/>
      <c r="I14" s="13"/>
      <c r="J14" s="14"/>
      <c r="K14" s="14"/>
      <c r="L14" s="14"/>
      <c r="M14" s="15"/>
      <c r="N14" s="4"/>
      <c r="O14" s="14"/>
      <c r="P14" s="14"/>
      <c r="Q14" s="42"/>
    </row>
    <row r="15" spans="2:19" ht="15.75" customHeight="1" x14ac:dyDescent="0.2">
      <c r="B15" s="10"/>
      <c r="C15" s="78" t="s">
        <v>10</v>
      </c>
      <c r="D15" s="78"/>
      <c r="E15" s="78"/>
      <c r="F15" s="78"/>
      <c r="G15" s="78"/>
      <c r="H15" s="78"/>
      <c r="I15" s="78"/>
      <c r="J15" s="94" t="s">
        <v>11</v>
      </c>
      <c r="K15" s="94"/>
      <c r="L15" s="94"/>
      <c r="M15" s="95"/>
      <c r="N15" s="4"/>
      <c r="O15" s="14"/>
      <c r="P15" s="14"/>
      <c r="Q15" s="42"/>
    </row>
    <row r="16" spans="2:19" ht="15.75" customHeight="1" x14ac:dyDescent="0.2">
      <c r="B16" s="20"/>
      <c r="C16" s="21"/>
      <c r="D16" s="21"/>
      <c r="E16" s="21"/>
      <c r="F16" s="21"/>
      <c r="G16" s="21"/>
      <c r="H16" s="21"/>
      <c r="I16" s="21"/>
      <c r="J16" s="21"/>
      <c r="K16" s="21"/>
      <c r="L16" s="21"/>
      <c r="M16" s="22"/>
      <c r="N16" s="4"/>
      <c r="O16" s="4"/>
      <c r="P16" s="14"/>
      <c r="Q16" s="14"/>
    </row>
    <row r="17" spans="2:15" ht="15.75" customHeight="1" x14ac:dyDescent="0.2">
      <c r="B17" s="4"/>
      <c r="C17" s="4"/>
      <c r="D17" s="4"/>
      <c r="E17" s="4"/>
      <c r="F17" s="4"/>
      <c r="G17" s="4"/>
      <c r="H17" s="4"/>
      <c r="I17" s="4"/>
      <c r="J17" s="4"/>
      <c r="K17" s="4"/>
      <c r="L17" s="4"/>
      <c r="M17" s="4"/>
      <c r="N17" s="4"/>
      <c r="O17" s="4"/>
    </row>
    <row r="18" spans="2:15" ht="15.75" customHeight="1" x14ac:dyDescent="0.2">
      <c r="B18" s="81" t="s">
        <v>12</v>
      </c>
      <c r="C18" s="82"/>
      <c r="D18" s="82"/>
      <c r="E18" s="82"/>
      <c r="F18" s="5"/>
      <c r="G18" s="5"/>
      <c r="H18" s="5"/>
      <c r="I18" s="5"/>
      <c r="J18" s="5"/>
      <c r="K18" s="5"/>
      <c r="L18" s="5"/>
      <c r="M18" s="6"/>
      <c r="N18" s="41"/>
      <c r="O18" s="41"/>
    </row>
    <row r="19" spans="2:15" ht="15.75" customHeight="1" x14ac:dyDescent="0.2">
      <c r="B19" s="7"/>
      <c r="C19" s="8"/>
      <c r="D19" s="8"/>
      <c r="E19" s="8"/>
      <c r="F19" s="8"/>
      <c r="G19" s="8"/>
      <c r="H19" s="8"/>
      <c r="I19" s="8"/>
      <c r="J19" s="8"/>
      <c r="K19" s="8"/>
      <c r="L19" s="8"/>
      <c r="M19" s="9"/>
      <c r="N19" s="8"/>
      <c r="O19" s="8"/>
    </row>
    <row r="20" spans="2:15" ht="15.75" customHeight="1" x14ac:dyDescent="0.2">
      <c r="B20" s="23"/>
      <c r="C20" s="80" t="s">
        <v>13</v>
      </c>
      <c r="D20" s="80"/>
      <c r="E20" s="80"/>
      <c r="F20" s="24"/>
      <c r="G20" s="25"/>
      <c r="H20" s="80" t="s">
        <v>14</v>
      </c>
      <c r="I20" s="80"/>
      <c r="J20" s="80"/>
      <c r="K20" s="80"/>
      <c r="L20" s="80"/>
      <c r="M20" s="24"/>
      <c r="N20" s="8"/>
      <c r="O20" s="8"/>
    </row>
    <row r="21" spans="2:15" ht="15.75" customHeight="1" x14ac:dyDescent="0.2">
      <c r="B21" s="7"/>
      <c r="C21" s="26"/>
      <c r="D21" s="26"/>
      <c r="E21" s="27"/>
      <c r="F21" s="9"/>
      <c r="G21" s="8"/>
      <c r="H21" s="26"/>
      <c r="I21" s="26"/>
      <c r="J21" s="26"/>
      <c r="K21" s="26"/>
      <c r="L21" s="27"/>
      <c r="M21" s="9"/>
      <c r="N21" s="8"/>
      <c r="O21" s="8"/>
    </row>
    <row r="22" spans="2:15" ht="15.75" customHeight="1" x14ac:dyDescent="0.2">
      <c r="B22" s="7"/>
      <c r="C22" s="11" t="s">
        <v>15</v>
      </c>
      <c r="D22" s="8"/>
      <c r="E22" s="28">
        <f>Calculations!B40</f>
        <v>44360</v>
      </c>
      <c r="F22" s="29"/>
      <c r="G22" s="83" t="s">
        <v>16</v>
      </c>
      <c r="H22" s="78"/>
      <c r="I22" s="78"/>
      <c r="J22" s="78"/>
      <c r="K22" s="30"/>
      <c r="L22" s="12">
        <v>44360</v>
      </c>
      <c r="M22" s="15"/>
      <c r="N22" s="4"/>
      <c r="O22" s="4"/>
    </row>
    <row r="23" spans="2:15" ht="15.75" customHeight="1" x14ac:dyDescent="0.2">
      <c r="B23" s="7"/>
      <c r="C23" s="11" t="s">
        <v>17</v>
      </c>
      <c r="D23" s="8"/>
      <c r="E23" s="31">
        <f>H8</f>
        <v>44439</v>
      </c>
      <c r="F23" s="29"/>
      <c r="G23" s="11"/>
      <c r="H23" s="78" t="s">
        <v>18</v>
      </c>
      <c r="I23" s="78"/>
      <c r="J23" s="78"/>
      <c r="K23" s="8"/>
      <c r="L23" s="31">
        <f>H8</f>
        <v>44439</v>
      </c>
      <c r="M23" s="32"/>
      <c r="N23" s="4"/>
      <c r="O23" s="4"/>
    </row>
    <row r="24" spans="2:15" ht="15.75" customHeight="1" x14ac:dyDescent="0.2">
      <c r="B24" s="7"/>
      <c r="C24" s="11" t="s">
        <v>19</v>
      </c>
      <c r="D24" s="8"/>
      <c r="E24" s="33">
        <f>Calculations!B41</f>
        <v>80</v>
      </c>
      <c r="F24" s="29"/>
      <c r="G24" s="11"/>
      <c r="H24" s="78" t="s">
        <v>19</v>
      </c>
      <c r="I24" s="78"/>
      <c r="J24" s="78"/>
      <c r="K24" s="13"/>
      <c r="L24" s="33">
        <f>IF(L22&lt;E22,"Too Early!",Calculations!B62)</f>
        <v>80</v>
      </c>
      <c r="M24" s="17"/>
      <c r="N24" s="4"/>
      <c r="O24" s="4"/>
    </row>
    <row r="25" spans="2:15" ht="15.75" customHeight="1" x14ac:dyDescent="0.2">
      <c r="B25" s="7"/>
      <c r="C25" s="11" t="s">
        <v>20</v>
      </c>
      <c r="D25" s="8"/>
      <c r="E25" s="67">
        <f>Calculations!B42</f>
        <v>80</v>
      </c>
      <c r="F25" s="29"/>
      <c r="G25" s="11"/>
      <c r="H25" s="78" t="s">
        <v>20</v>
      </c>
      <c r="I25" s="78"/>
      <c r="J25" s="78"/>
      <c r="K25" s="13"/>
      <c r="L25" s="67">
        <f>IF(L22&lt;E22,"Too Early!",Calculations!B63)</f>
        <v>80</v>
      </c>
      <c r="M25" s="17"/>
      <c r="N25" s="4"/>
      <c r="O25" s="4"/>
    </row>
    <row r="26" spans="2:15" ht="15.75" customHeight="1" x14ac:dyDescent="0.2">
      <c r="B26" s="7"/>
      <c r="C26" s="11" t="s">
        <v>21</v>
      </c>
      <c r="D26" s="11"/>
      <c r="E26" s="67">
        <f>Calculations!B43</f>
        <v>0</v>
      </c>
      <c r="F26" s="29"/>
      <c r="G26" s="11"/>
      <c r="H26" s="78" t="s">
        <v>21</v>
      </c>
      <c r="I26" s="78"/>
      <c r="J26" s="78"/>
      <c r="K26" s="13"/>
      <c r="L26" s="67">
        <f>IF(L22&lt;E22,"Too Early!",Calculations!B64)</f>
        <v>0</v>
      </c>
      <c r="M26" s="17"/>
      <c r="N26" s="4"/>
      <c r="O26" s="4"/>
    </row>
    <row r="27" spans="2:15" ht="15.75" customHeight="1" x14ac:dyDescent="0.2">
      <c r="B27" s="83" t="s">
        <v>22</v>
      </c>
      <c r="C27" s="78"/>
      <c r="D27" s="11"/>
      <c r="E27" s="67">
        <f>Calculations!B44</f>
        <v>0</v>
      </c>
      <c r="F27" s="29"/>
      <c r="G27" s="11"/>
      <c r="H27" s="78" t="s">
        <v>22</v>
      </c>
      <c r="I27" s="78"/>
      <c r="J27" s="78"/>
      <c r="K27" s="13"/>
      <c r="L27" s="67">
        <f>IF(L22&lt;E22,"Too Early!",Calculations!B65)</f>
        <v>0</v>
      </c>
      <c r="M27" s="17"/>
      <c r="N27" s="4"/>
      <c r="O27" s="4"/>
    </row>
    <row r="28" spans="2:15" ht="15.75" customHeight="1" x14ac:dyDescent="0.2">
      <c r="B28" s="34"/>
      <c r="C28" s="35"/>
      <c r="D28" s="35"/>
      <c r="E28" s="35"/>
      <c r="F28" s="36"/>
      <c r="G28" s="35"/>
      <c r="H28" s="37"/>
      <c r="I28" s="38"/>
      <c r="J28" s="39"/>
      <c r="K28" s="39"/>
      <c r="L28" s="39"/>
      <c r="M28" s="40"/>
      <c r="N28" s="4"/>
      <c r="O28" s="4"/>
    </row>
    <row r="29" spans="2:15" ht="15.75" customHeight="1" x14ac:dyDescent="0.2">
      <c r="B29" s="87" t="s">
        <v>23</v>
      </c>
      <c r="C29" s="88"/>
      <c r="D29" s="88"/>
      <c r="E29" s="88"/>
      <c r="F29" s="88"/>
      <c r="G29" s="88"/>
      <c r="H29" s="88"/>
      <c r="I29" s="88"/>
      <c r="J29" s="88"/>
      <c r="K29" s="88"/>
      <c r="L29" s="88"/>
      <c r="M29" s="89"/>
      <c r="N29" s="4"/>
      <c r="O29" s="4"/>
    </row>
    <row r="30" spans="2:15" ht="15.75" customHeight="1" x14ac:dyDescent="0.2">
      <c r="B30" s="90"/>
      <c r="C30" s="91"/>
      <c r="D30" s="91"/>
      <c r="E30" s="91"/>
      <c r="F30" s="91"/>
      <c r="G30" s="91"/>
      <c r="H30" s="91"/>
      <c r="I30" s="91"/>
      <c r="J30" s="91"/>
      <c r="K30" s="91"/>
      <c r="L30" s="91"/>
      <c r="M30" s="92"/>
      <c r="N30" s="4"/>
      <c r="O30" s="4"/>
    </row>
    <row r="31" spans="2:15" x14ac:dyDescent="0.2">
      <c r="B31" s="85"/>
      <c r="C31" s="85"/>
      <c r="D31" s="85"/>
      <c r="E31" s="85"/>
      <c r="F31" s="85"/>
      <c r="G31" s="85"/>
      <c r="H31" s="85"/>
      <c r="I31" s="85"/>
      <c r="J31" s="85"/>
      <c r="K31" s="85"/>
      <c r="L31" s="85"/>
      <c r="M31" s="85"/>
      <c r="N31" s="86"/>
      <c r="O31" s="86"/>
    </row>
    <row r="32" spans="2:15" x14ac:dyDescent="0.2">
      <c r="B32" s="84"/>
      <c r="C32" s="84"/>
    </row>
    <row r="33" spans="5:8" x14ac:dyDescent="0.2">
      <c r="E33" s="79"/>
      <c r="F33" s="79"/>
      <c r="G33" s="79"/>
      <c r="H33" s="79"/>
    </row>
  </sheetData>
  <mergeCells count="30">
    <mergeCell ref="B1:J1"/>
    <mergeCell ref="J15:M15"/>
    <mergeCell ref="C9:E9"/>
    <mergeCell ref="C10:E10"/>
    <mergeCell ref="C12:E12"/>
    <mergeCell ref="J11:M11"/>
    <mergeCell ref="J12:M12"/>
    <mergeCell ref="C13:E13"/>
    <mergeCell ref="J10:M10"/>
    <mergeCell ref="J13:M13"/>
    <mergeCell ref="B3:M3"/>
    <mergeCell ref="J9:M9"/>
    <mergeCell ref="C11:E11"/>
    <mergeCell ref="C8:E8"/>
    <mergeCell ref="B5:E5"/>
    <mergeCell ref="H23:J23"/>
    <mergeCell ref="C15:I15"/>
    <mergeCell ref="E33:H33"/>
    <mergeCell ref="C20:E20"/>
    <mergeCell ref="H20:L20"/>
    <mergeCell ref="B18:E18"/>
    <mergeCell ref="H25:J25"/>
    <mergeCell ref="G22:J22"/>
    <mergeCell ref="B32:C32"/>
    <mergeCell ref="B31:O31"/>
    <mergeCell ref="H27:J27"/>
    <mergeCell ref="H24:J24"/>
    <mergeCell ref="H26:J26"/>
    <mergeCell ref="B29:M30"/>
    <mergeCell ref="B27:C27"/>
  </mergeCells>
  <phoneticPr fontId="4" type="noConversion"/>
  <dataValidations count="1">
    <dataValidation type="whole" operator="greaterThanOrEqual" allowBlank="1" showInputMessage="1" showErrorMessage="1" sqref="H11:H12">
      <formula1>0</formula1>
    </dataValidation>
  </dataValidations>
  <hyperlinks>
    <hyperlink ref="J15" r:id="rId1"/>
  </hyperlinks>
  <pageMargins left="0.75" right="0.75" top="1" bottom="1" header="0.5" footer="0.5"/>
  <pageSetup scale="81" orientation="landscape" horizontalDpi="1200" vertic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
  <sheetViews>
    <sheetView showGridLines="0" zoomScaleNormal="100" workbookViewId="0">
      <selection activeCell="C11" sqref="C11"/>
    </sheetView>
  </sheetViews>
  <sheetFormatPr defaultColWidth="10.28515625" defaultRowHeight="12.75" x14ac:dyDescent="0.2"/>
  <cols>
    <col min="1" max="1" width="2.7109375" style="46" customWidth="1"/>
    <col min="2" max="2" width="44.140625" style="46" bestFit="1" customWidth="1"/>
    <col min="3" max="3" width="12.140625" style="53" customWidth="1"/>
    <col min="4" max="4" width="78.42578125" style="46" bestFit="1" customWidth="1"/>
    <col min="5" max="5" width="10.85546875" style="46" bestFit="1" customWidth="1"/>
    <col min="6" max="16384" width="10.28515625" style="46"/>
  </cols>
  <sheetData>
    <row r="1" spans="2:5" ht="23.25" x14ac:dyDescent="0.35">
      <c r="B1" s="43" t="s">
        <v>24</v>
      </c>
      <c r="C1" s="44"/>
      <c r="D1" s="43"/>
      <c r="E1" s="45"/>
    </row>
    <row r="3" spans="2:5" ht="15" x14ac:dyDescent="0.2">
      <c r="B3" s="47" t="s">
        <v>25</v>
      </c>
      <c r="C3" s="48" t="s">
        <v>26</v>
      </c>
      <c r="D3" s="47" t="s">
        <v>27</v>
      </c>
      <c r="E3" s="49"/>
    </row>
    <row r="4" spans="2:5" x14ac:dyDescent="0.2">
      <c r="B4" s="50" t="s">
        <v>28</v>
      </c>
      <c r="C4" s="51">
        <v>60</v>
      </c>
      <c r="D4" s="52" t="s">
        <v>29</v>
      </c>
    </row>
    <row r="5" spans="2:5" x14ac:dyDescent="0.2">
      <c r="B5" s="50" t="s">
        <v>30</v>
      </c>
      <c r="C5" s="51">
        <v>60</v>
      </c>
      <c r="D5" s="52" t="s">
        <v>31</v>
      </c>
    </row>
  </sheetData>
  <phoneticPr fontId="4" type="noConversion"/>
  <pageMargins left="0.75" right="0.75" top="1" bottom="1"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73"/>
  <sheetViews>
    <sheetView workbookViewId="0">
      <selection activeCell="B4" sqref="B4"/>
    </sheetView>
  </sheetViews>
  <sheetFormatPr defaultColWidth="9.140625" defaultRowHeight="10.5" x14ac:dyDescent="0.15"/>
  <cols>
    <col min="1" max="1" width="54.85546875" style="54" bestFit="1" customWidth="1"/>
    <col min="2" max="2" width="14.28515625" style="58" customWidth="1"/>
    <col min="3" max="3" width="19.85546875" style="58" bestFit="1" customWidth="1"/>
    <col min="4" max="4" width="20.42578125" style="58" bestFit="1" customWidth="1"/>
    <col min="5" max="5" width="14" style="58" bestFit="1" customWidth="1"/>
    <col min="6" max="16384" width="9.140625" style="54"/>
  </cols>
  <sheetData>
    <row r="1" spans="1:5" x14ac:dyDescent="0.15">
      <c r="A1" s="55" t="s">
        <v>1</v>
      </c>
    </row>
    <row r="2" spans="1:5" x14ac:dyDescent="0.15">
      <c r="A2" s="8" t="s">
        <v>32</v>
      </c>
      <c r="B2" s="56">
        <f>'Term Leave Calc'!H8</f>
        <v>44439</v>
      </c>
    </row>
    <row r="3" spans="1:5" x14ac:dyDescent="0.15">
      <c r="A3" s="8" t="s">
        <v>36</v>
      </c>
      <c r="B3" s="57">
        <f>'Term Leave Calc'!H9</f>
        <v>75</v>
      </c>
    </row>
    <row r="4" spans="1:5" x14ac:dyDescent="0.15">
      <c r="A4" s="8" t="s">
        <v>37</v>
      </c>
      <c r="B4" s="56">
        <f>DATE(YEAR('Term Leave Calc'!H10),MONTH('Term Leave Calc'!H10),DAY(1))</f>
        <v>44228</v>
      </c>
      <c r="C4" s="56"/>
    </row>
    <row r="5" spans="1:5" x14ac:dyDescent="0.15">
      <c r="A5" s="8" t="s">
        <v>33</v>
      </c>
      <c r="B5" s="57">
        <f>'Term Leave Calc'!H11</f>
        <v>10</v>
      </c>
    </row>
    <row r="6" spans="1:5" x14ac:dyDescent="0.15">
      <c r="A6" s="8" t="s">
        <v>34</v>
      </c>
      <c r="B6" s="57">
        <f>'Term Leave Calc'!H12</f>
        <v>0</v>
      </c>
    </row>
    <row r="7" spans="1:5" x14ac:dyDescent="0.15">
      <c r="A7" s="8" t="s">
        <v>38</v>
      </c>
      <c r="B7" s="57">
        <f>'Term Leave Calc'!H13</f>
        <v>0</v>
      </c>
    </row>
    <row r="9" spans="1:5" x14ac:dyDescent="0.15">
      <c r="A9" s="55" t="s">
        <v>41</v>
      </c>
    </row>
    <row r="10" spans="1:5" x14ac:dyDescent="0.15">
      <c r="A10" s="54" t="s">
        <v>35</v>
      </c>
      <c r="B10" s="59" t="str">
        <f>IF(B2-B4&gt;365,"Over 330!","OK")</f>
        <v>OK</v>
      </c>
    </row>
    <row r="11" spans="1:5" x14ac:dyDescent="0.15">
      <c r="A11" s="54" t="s">
        <v>39</v>
      </c>
      <c r="B11" s="58" t="str">
        <f>IF(AND(MONTH(B2)&gt;9,MONTH(B4)&lt;10,YEAR(B2)=YEAR(B4)),"Yes",IF(AND(MONTH(B2)&lt;10,MONTH(B4)&lt;10,YEAR(B4)&lt;YEAR(B2)),"Yes",IF(AND(MONTH(B2)&gt;9,MONTH(B4)&gt;9,YEAR(B4)&lt;YEAR(B2)),"Yes","No")))</f>
        <v>No</v>
      </c>
    </row>
    <row r="12" spans="1:5" x14ac:dyDescent="0.15">
      <c r="A12" s="54" t="s">
        <v>40</v>
      </c>
      <c r="B12" s="58" t="str">
        <f>IF(YEAR(B4)&lt;YEAR(B2),"Yes","No")</f>
        <v>No</v>
      </c>
    </row>
    <row r="13" spans="1:5" x14ac:dyDescent="0.15">
      <c r="A13" s="54" t="s">
        <v>49</v>
      </c>
      <c r="B13" s="61">
        <f>DATE(YEAR(B4),9,30)</f>
        <v>44469</v>
      </c>
      <c r="C13" s="62"/>
    </row>
    <row r="14" spans="1:5" x14ac:dyDescent="0.15">
      <c r="A14" s="54" t="s">
        <v>50</v>
      </c>
      <c r="B14" s="61">
        <f>IF(MONTH(B4)&lt;10,B13,DATE(YEAR(B2),9,30))</f>
        <v>44469</v>
      </c>
    </row>
    <row r="16" spans="1:5" x14ac:dyDescent="0.15">
      <c r="A16" s="55" t="s">
        <v>53</v>
      </c>
      <c r="B16" s="60" t="s">
        <v>67</v>
      </c>
      <c r="C16" s="60" t="s">
        <v>65</v>
      </c>
      <c r="D16" s="60" t="s">
        <v>43</v>
      </c>
      <c r="E16" s="60" t="s">
        <v>42</v>
      </c>
    </row>
    <row r="17" spans="1:5" x14ac:dyDescent="0.15">
      <c r="A17" s="54" t="s">
        <v>45</v>
      </c>
      <c r="B17" s="63">
        <f>IF((ROUNDUP(DAY($B$2)/6,0))*0.5&gt;2.5,2.5,(ROUNDUP(DAY($B$2)/6,0))*0.5)</f>
        <v>2.5</v>
      </c>
      <c r="C17" s="63">
        <f>IF((ROUNDUP(DAY($B$2)/6,0))*0.5&gt;2.5,2.5,(ROUNDUP(DAY($B$2)/6,0))*0.5)</f>
        <v>2.5</v>
      </c>
      <c r="D17" s="63">
        <f>IF((ROUNDUP(DAY($B$2)/6,0))*0.5&gt;2.5,2.5,(ROUNDUP(DAY($B$2)/6,0))*0.5)</f>
        <v>2.5</v>
      </c>
      <c r="E17" s="63">
        <f>IF((ROUNDUP(DAY($B$2)/6,0))*0.5&gt;2.5,2.5,(ROUNDUP(DAY($B$2)/6,0))*0.5)</f>
        <v>2.5</v>
      </c>
    </row>
    <row r="18" spans="1:5" x14ac:dyDescent="0.15">
      <c r="A18" s="54" t="s">
        <v>51</v>
      </c>
      <c r="B18" s="63"/>
      <c r="C18" s="63">
        <f>IF(MONTH($B$4)&gt;9,(12-MONTH($B$4))*2.5,0)</f>
        <v>0</v>
      </c>
      <c r="D18" s="63"/>
      <c r="E18" s="63">
        <f>IF(MONTH($B$4)&gt;9,(12-MONTH($B$4))*2.5,0)</f>
        <v>0</v>
      </c>
    </row>
    <row r="19" spans="1:5" x14ac:dyDescent="0.15">
      <c r="A19" s="54" t="s">
        <v>52</v>
      </c>
      <c r="B19" s="63"/>
      <c r="C19" s="63"/>
      <c r="D19" s="63"/>
      <c r="E19" s="63">
        <f>IF(MONTH(B2)&gt;9,22.5,0)</f>
        <v>0</v>
      </c>
    </row>
    <row r="20" spans="1:5" x14ac:dyDescent="0.15">
      <c r="A20" s="54" t="s">
        <v>62</v>
      </c>
      <c r="B20" s="63"/>
      <c r="C20" s="63"/>
      <c r="D20" s="63"/>
      <c r="E20" s="63">
        <f>IF(MONTH(B2)&gt;9,0,7.5)</f>
        <v>7.5</v>
      </c>
    </row>
    <row r="21" spans="1:5" x14ac:dyDescent="0.15">
      <c r="A21" s="54" t="s">
        <v>47</v>
      </c>
      <c r="B21" s="63"/>
      <c r="C21" s="63"/>
      <c r="D21" s="63">
        <f>(MONTH(B13)-MONTH($B$4))*2.5</f>
        <v>17.5</v>
      </c>
      <c r="E21" s="63">
        <f>IF(AND(YEAR(B4)=YEAR(B13),MONTH(B13)&gt;MONTH(B4)),(9-MONTH(B4))*2.5,0)</f>
        <v>17.5</v>
      </c>
    </row>
    <row r="22" spans="1:5" x14ac:dyDescent="0.15">
      <c r="A22" s="54" t="s">
        <v>48</v>
      </c>
      <c r="B22" s="63"/>
      <c r="C22" s="63"/>
      <c r="D22" s="63">
        <f>(MONTH(B2)-MONTH(B13)-1)*2.5</f>
        <v>-5</v>
      </c>
      <c r="E22" s="63">
        <f>IF(MONTH(B2)&gt;MONTH(B14),IF(YEAR(B2)=YEAR(B14),(MONTH(B2)-MONTH(B14)-1)*2.5,IF(YEAR(B2)=YEAR(B13),(MONTH(B2)-MONTH(B13)-1)*2.5,0)),0)</f>
        <v>0</v>
      </c>
    </row>
    <row r="23" spans="1:5" x14ac:dyDescent="0.15">
      <c r="A23" s="54" t="s">
        <v>66</v>
      </c>
      <c r="B23" s="63"/>
      <c r="C23" s="63">
        <f>(MONTH(B2)-1)*2.5</f>
        <v>17.5</v>
      </c>
      <c r="D23" s="63"/>
      <c r="E23" s="63">
        <f>IF(OR(MONTH(B2)=10, MONTH(B2)=11, MONTH(B2)=12),0,(MONTH(B2)-1)*2.5)</f>
        <v>17.5</v>
      </c>
    </row>
    <row r="24" spans="1:5" x14ac:dyDescent="0.15">
      <c r="A24" s="54" t="s">
        <v>44</v>
      </c>
      <c r="B24" s="63">
        <f>(MONTH(B2)-MONTH(B4)-1)*2.5</f>
        <v>12.5</v>
      </c>
      <c r="C24" s="63"/>
      <c r="D24" s="63"/>
      <c r="E24" s="63"/>
    </row>
    <row r="25" spans="1:5" x14ac:dyDescent="0.15">
      <c r="A25" s="54" t="s">
        <v>46</v>
      </c>
      <c r="B25" s="63">
        <f>B3+B17+B24-B5-B6</f>
        <v>80</v>
      </c>
      <c r="C25" s="63">
        <f>B3+C17+C18+C23-B5-B6</f>
        <v>85</v>
      </c>
      <c r="D25" s="63">
        <f>B3+D17+D21+D22-B5-B6</f>
        <v>80</v>
      </c>
      <c r="E25" s="63">
        <f>B3+SUM(E17:E24)-B5-B6</f>
        <v>110</v>
      </c>
    </row>
    <row r="26" spans="1:5" x14ac:dyDescent="0.15">
      <c r="A26" s="54" t="s">
        <v>59</v>
      </c>
      <c r="B26" s="63">
        <f>ROUNDDOWN(B25,0)</f>
        <v>80</v>
      </c>
      <c r="C26" s="63">
        <f>ROUNDDOWN(C25,0)</f>
        <v>85</v>
      </c>
      <c r="D26" s="63">
        <f>ROUNDDOWN(D25,0)</f>
        <v>80</v>
      </c>
      <c r="E26" s="63">
        <f>ROUNDDOWN(E25,0)</f>
        <v>110</v>
      </c>
    </row>
    <row r="27" spans="1:5" x14ac:dyDescent="0.15">
      <c r="A27" s="54" t="s">
        <v>60</v>
      </c>
      <c r="B27" s="63">
        <f>IF(B37&gt;0,B26-B37,B26)</f>
        <v>80</v>
      </c>
      <c r="C27" s="63">
        <f>IF(C37&gt;0,C26-C37,C26)</f>
        <v>85</v>
      </c>
      <c r="D27" s="63">
        <f>IF(D37&gt;0,D26-D37,D26)</f>
        <v>80</v>
      </c>
      <c r="E27" s="63">
        <f>IF(E37&gt;0,E26-E37,E26)</f>
        <v>110</v>
      </c>
    </row>
    <row r="28" spans="1:5" x14ac:dyDescent="0.15">
      <c r="A28" s="54" t="s">
        <v>38</v>
      </c>
      <c r="B28" s="63">
        <f>IF('Calculation Values'!$C$5-'Term Leave Calc'!$H$13=0,0,B25-B26)</f>
        <v>0</v>
      </c>
      <c r="C28" s="63">
        <f>IF('Calculation Values'!$C$5-'Term Leave Calc'!$H$13=0,0,C25-C26)</f>
        <v>0</v>
      </c>
      <c r="D28" s="63">
        <f>IF('Calculation Values'!$C$5-'Term Leave Calc'!$H$13=0,0,D25-D26)</f>
        <v>0</v>
      </c>
      <c r="E28" s="63">
        <f>IF('Calculation Values'!$C$5-'Term Leave Calc'!$H$13=0,0,E25-E26)</f>
        <v>0</v>
      </c>
    </row>
    <row r="29" spans="1:5" x14ac:dyDescent="0.15">
      <c r="A29" s="54" t="s">
        <v>61</v>
      </c>
      <c r="B29" s="61">
        <f>$B$2-B27+1</f>
        <v>44360</v>
      </c>
      <c r="C29" s="61">
        <f>$B$2-C27+1</f>
        <v>44355</v>
      </c>
      <c r="D29" s="61">
        <f>IF(D70="Yes",D73,$B$2-D27+1)</f>
        <v>44360</v>
      </c>
      <c r="E29" s="61">
        <f>IF(E70="Yes",E73,$B$2-E27+1)</f>
        <v>44330</v>
      </c>
    </row>
    <row r="30" spans="1:5" x14ac:dyDescent="0.15">
      <c r="B30" s="63"/>
      <c r="C30" s="63"/>
      <c r="D30" s="63"/>
      <c r="E30" s="63"/>
    </row>
    <row r="31" spans="1:5" x14ac:dyDescent="0.15">
      <c r="A31" s="55" t="s">
        <v>54</v>
      </c>
      <c r="B31" s="63"/>
      <c r="C31" s="63"/>
      <c r="D31" s="63"/>
      <c r="E31" s="63"/>
    </row>
    <row r="32" spans="1:5" x14ac:dyDescent="0.15">
      <c r="A32" s="54" t="s">
        <v>63</v>
      </c>
      <c r="B32" s="63"/>
      <c r="C32" s="63"/>
      <c r="D32" s="63">
        <f>$B$3+$D$21-$B$5</f>
        <v>82.5</v>
      </c>
      <c r="E32" s="63">
        <f>IF($E$19&gt;0,$B$3+$E$18+$E$19,$B$3+$E$21)-$B$5</f>
        <v>82.5</v>
      </c>
    </row>
    <row r="33" spans="1:5" x14ac:dyDescent="0.15">
      <c r="A33" s="54" t="s">
        <v>55</v>
      </c>
      <c r="B33" s="63"/>
      <c r="C33" s="63"/>
      <c r="D33" s="63">
        <f>IF((D32-'Calculation Values'!$C$4)&lt;0,0,D32-'Calculation Values'!$C$4)</f>
        <v>22.5</v>
      </c>
      <c r="E33" s="63">
        <f>IF((E32-'Calculation Values'!$C$4)&lt;0,0,E32-'Calculation Values'!$C$4)</f>
        <v>22.5</v>
      </c>
    </row>
    <row r="34" spans="1:5" x14ac:dyDescent="0.15">
      <c r="A34" s="54" t="s">
        <v>56</v>
      </c>
      <c r="B34" s="63"/>
      <c r="C34" s="63"/>
      <c r="D34" s="61">
        <f>$B$2-$D$26+1</f>
        <v>44360</v>
      </c>
      <c r="E34" s="61">
        <f>$B$2-$E$26+1</f>
        <v>44330</v>
      </c>
    </row>
    <row r="35" spans="1:5" x14ac:dyDescent="0.15">
      <c r="A35" s="54" t="s">
        <v>64</v>
      </c>
      <c r="B35" s="63"/>
      <c r="C35" s="63"/>
      <c r="D35" s="63">
        <f>IF(D34&lt;=$B$13,($B$13-D34+1),0)</f>
        <v>110</v>
      </c>
      <c r="E35" s="63">
        <f>IF(E34&lt;=$B$14,($B$14-E34+1),0)</f>
        <v>140</v>
      </c>
    </row>
    <row r="36" spans="1:5" x14ac:dyDescent="0.15">
      <c r="A36" s="54" t="s">
        <v>57</v>
      </c>
      <c r="B36" s="63"/>
      <c r="C36" s="63"/>
      <c r="D36" s="63">
        <f>IF(D33&gt;=D35,D35,D33)</f>
        <v>22.5</v>
      </c>
      <c r="E36" s="63">
        <f>IF(E33&gt;=E35,E35,ROUNDUP(E33,0))</f>
        <v>23</v>
      </c>
    </row>
    <row r="37" spans="1:5" x14ac:dyDescent="0.15">
      <c r="A37" s="54" t="s">
        <v>58</v>
      </c>
      <c r="B37" s="63">
        <v>0</v>
      </c>
      <c r="C37" s="63">
        <v>0</v>
      </c>
      <c r="D37" s="63">
        <f>IF(D70="Yes",D71,IF(D36&lt;D33,IF(D33-D36&lt;0,0,D33-D36),0))</f>
        <v>0</v>
      </c>
      <c r="E37" s="63">
        <f>IF(E70="Yes",E71,IF(E36&lt;E33,IF(E33-E36&lt;0,0,E33-E36),0))</f>
        <v>0</v>
      </c>
    </row>
    <row r="39" spans="1:5" x14ac:dyDescent="0.15">
      <c r="A39" s="55" t="s">
        <v>82</v>
      </c>
    </row>
    <row r="40" spans="1:5" x14ac:dyDescent="0.15">
      <c r="A40" s="54" t="s">
        <v>61</v>
      </c>
      <c r="B40" s="61">
        <f>IF(AND($B$11="Yes",$B$12="Yes"),E29,IF(AND($B$11="Yes",$B$12="No"),D29,IF(AND($B$11="No",$B$12="Yes"),C29,B29)))</f>
        <v>44360</v>
      </c>
    </row>
    <row r="41" spans="1:5" x14ac:dyDescent="0.15">
      <c r="A41" s="64" t="s">
        <v>70</v>
      </c>
      <c r="B41" s="66">
        <f>IF(AND($B$11="Yes",$B$12="Yes"),E27,IF(AND($B$11="Yes",$B$12="No"),D27,IF(AND($B$11="No",$B$12="Yes"),C27,B27)))</f>
        <v>80</v>
      </c>
    </row>
    <row r="42" spans="1:5" x14ac:dyDescent="0.15">
      <c r="A42" s="64" t="s">
        <v>20</v>
      </c>
      <c r="B42" s="66">
        <f>IF(AND($B$11="Yes",$B$12="Yes"),E25,IF(AND($B$11="Yes",$B$12="No"),D25,IF(AND($B$11="No",$B$12="Yes"),C25,B25)))</f>
        <v>80</v>
      </c>
    </row>
    <row r="43" spans="1:5" x14ac:dyDescent="0.15">
      <c r="A43" s="64" t="s">
        <v>68</v>
      </c>
      <c r="B43" s="63">
        <f>IF(AND($B$11="Yes",$B$12="Yes"),E28,IF(AND($B$11="Yes",$B$12="No"),D28,IF(AND($B$11="No",$B$12="Yes"),C28,B28)))</f>
        <v>0</v>
      </c>
    </row>
    <row r="44" spans="1:5" x14ac:dyDescent="0.15">
      <c r="A44" s="65" t="s">
        <v>69</v>
      </c>
      <c r="B44" s="63">
        <f>IF(AND($B$11="Yes",$B$12="Yes"),E37,IF(AND($B$11="Yes",$B$12="No"),D37,IF(AND($B$11="No",$B$12="Yes"),C37,B37)))</f>
        <v>0</v>
      </c>
    </row>
    <row r="46" spans="1:5" x14ac:dyDescent="0.15">
      <c r="A46" s="55" t="s">
        <v>71</v>
      </c>
    </row>
    <row r="47" spans="1:5" x14ac:dyDescent="0.15">
      <c r="A47" s="54" t="s">
        <v>63</v>
      </c>
      <c r="D47" s="63">
        <f>$B$3+$D$21-$B$5</f>
        <v>82.5</v>
      </c>
      <c r="E47" s="63">
        <f>IF($E$19&gt;0,$B$3+$E$18+$E$19,$B$3+$E$21)-$B$5</f>
        <v>82.5</v>
      </c>
    </row>
    <row r="48" spans="1:5" x14ac:dyDescent="0.15">
      <c r="A48" s="54" t="s">
        <v>55</v>
      </c>
      <c r="D48" s="63">
        <f>D47-'Calculation Values'!$C$4</f>
        <v>22.5</v>
      </c>
      <c r="E48" s="63">
        <f>E47-'Calculation Values'!$C$4</f>
        <v>22.5</v>
      </c>
    </row>
    <row r="49" spans="1:5" x14ac:dyDescent="0.15">
      <c r="A49" s="54" t="s">
        <v>72</v>
      </c>
      <c r="B49" s="61">
        <f>'Term Leave Calc'!$L$22</f>
        <v>44360</v>
      </c>
      <c r="C49" s="61">
        <f>'Term Leave Calc'!$L$22</f>
        <v>44360</v>
      </c>
      <c r="D49" s="61">
        <f>'Term Leave Calc'!$L$22</f>
        <v>44360</v>
      </c>
      <c r="E49" s="61">
        <f>'Term Leave Calc'!$L$22</f>
        <v>44360</v>
      </c>
    </row>
    <row r="50" spans="1:5" x14ac:dyDescent="0.15">
      <c r="A50" s="54" t="s">
        <v>64</v>
      </c>
      <c r="D50" s="63">
        <f>IF(D49&lt;=$B$13,($B$13-D49+1),0)</f>
        <v>110</v>
      </c>
      <c r="E50" s="63">
        <f>IF(E49&lt;=$B$14,($B$14-E49+1),0)</f>
        <v>110</v>
      </c>
    </row>
    <row r="51" spans="1:5" x14ac:dyDescent="0.15">
      <c r="A51" s="54" t="s">
        <v>57</v>
      </c>
      <c r="D51" s="63">
        <f>IF((IF(D48&gt;=D50,D50,D48))&lt;0,0,IF(D48&gt;=D50,D50,D48))</f>
        <v>22.5</v>
      </c>
      <c r="E51" s="63">
        <f>IF((IF(E48&gt;=E50,E50,E48))&lt;0,0,IF(E48&gt;=E50,E50,E48))</f>
        <v>22.5</v>
      </c>
    </row>
    <row r="52" spans="1:5" x14ac:dyDescent="0.15">
      <c r="A52" s="54" t="s">
        <v>81</v>
      </c>
      <c r="B52" s="63">
        <v>0</v>
      </c>
      <c r="C52" s="63">
        <v>0</v>
      </c>
      <c r="D52" s="63">
        <f>IF(D51&lt;D48,D48-D51,0)</f>
        <v>0</v>
      </c>
      <c r="E52" s="63">
        <f>IF((IF(AND(E47&gt;0,E50&lt;E47),E48-E51,IF(AND(E51&lt;E48,E51&gt;0),E48-E51,0)))&lt;0,0,IF(AND(E47&gt;0,E50&lt;E47),E48-E51,IF(AND(E51&lt;E48,E51&gt;0),E48-E51,0)))</f>
        <v>0</v>
      </c>
    </row>
    <row r="53" spans="1:5" x14ac:dyDescent="0.15">
      <c r="A53" s="54" t="s">
        <v>46</v>
      </c>
      <c r="B53" s="63">
        <f t="shared" ref="B53:E54" si="0">B25</f>
        <v>80</v>
      </c>
      <c r="C53" s="63">
        <f t="shared" si="0"/>
        <v>85</v>
      </c>
      <c r="D53" s="63">
        <f t="shared" si="0"/>
        <v>80</v>
      </c>
      <c r="E53" s="63">
        <f t="shared" si="0"/>
        <v>110</v>
      </c>
    </row>
    <row r="54" spans="1:5" x14ac:dyDescent="0.15">
      <c r="A54" s="54" t="s">
        <v>59</v>
      </c>
      <c r="B54" s="63">
        <f t="shared" si="0"/>
        <v>80</v>
      </c>
      <c r="C54" s="63">
        <f t="shared" si="0"/>
        <v>85</v>
      </c>
      <c r="D54" s="63">
        <f t="shared" si="0"/>
        <v>80</v>
      </c>
      <c r="E54" s="63">
        <f t="shared" si="0"/>
        <v>110</v>
      </c>
    </row>
    <row r="55" spans="1:5" x14ac:dyDescent="0.15">
      <c r="A55" s="54" t="s">
        <v>60</v>
      </c>
      <c r="B55" s="63">
        <f>B54-B52</f>
        <v>80</v>
      </c>
      <c r="C55" s="63">
        <f>C54-C52</f>
        <v>85</v>
      </c>
      <c r="D55" s="63">
        <f>D54-D52</f>
        <v>80</v>
      </c>
      <c r="E55" s="63">
        <f>E54-E52</f>
        <v>110</v>
      </c>
    </row>
    <row r="56" spans="1:5" x14ac:dyDescent="0.15">
      <c r="A56" s="54" t="s">
        <v>77</v>
      </c>
      <c r="B56" s="63">
        <f>$B$2-B49+1</f>
        <v>80</v>
      </c>
      <c r="C56" s="63">
        <f>$B$2-C49+1</f>
        <v>80</v>
      </c>
      <c r="D56" s="63">
        <f>$B$2-D49+1</f>
        <v>80</v>
      </c>
      <c r="E56" s="63">
        <f>$B$2-E49+1</f>
        <v>80</v>
      </c>
    </row>
    <row r="57" spans="1:5" x14ac:dyDescent="0.15">
      <c r="A57" s="54" t="s">
        <v>78</v>
      </c>
      <c r="B57" s="63">
        <f>'Calculation Values'!$C$5-'Term Leave Calc'!$H$13</f>
        <v>60</v>
      </c>
      <c r="C57" s="63">
        <f>'Calculation Values'!$C$5-'Term Leave Calc'!$H$13</f>
        <v>60</v>
      </c>
      <c r="D57" s="63">
        <f>'Calculation Values'!$C$5-'Term Leave Calc'!$H$13</f>
        <v>60</v>
      </c>
      <c r="E57" s="63">
        <f>'Calculation Values'!$C$5-'Term Leave Calc'!$H$13</f>
        <v>60</v>
      </c>
    </row>
    <row r="58" spans="1:5" x14ac:dyDescent="0.15">
      <c r="A58" s="54" t="s">
        <v>79</v>
      </c>
      <c r="B58" s="63">
        <f>IF((B53-B52-B56)&gt;B57,B57,(B53-B52-B56))</f>
        <v>0</v>
      </c>
      <c r="C58" s="63">
        <f>IF((C53-C52-C56)&gt;C57,C57,(C53-C52-C56))</f>
        <v>5</v>
      </c>
      <c r="D58" s="63">
        <f>IF((D53-D52-D56)&gt;D57,D57,(D53-D52-D56))</f>
        <v>0</v>
      </c>
      <c r="E58" s="63">
        <f>IF((E53-E52-E56)&gt;E57,E57,(E53-E52-E56))</f>
        <v>30</v>
      </c>
    </row>
    <row r="59" spans="1:5" x14ac:dyDescent="0.15">
      <c r="A59" s="54" t="s">
        <v>80</v>
      </c>
      <c r="B59" s="63">
        <f>IF(B58&gt;0,B58,0)</f>
        <v>0</v>
      </c>
      <c r="C59" s="63">
        <f>IF(C58&gt;0,C58,0)</f>
        <v>5</v>
      </c>
      <c r="D59" s="63">
        <f>IF(D58&gt;0,D58,0)</f>
        <v>0</v>
      </c>
      <c r="E59" s="63">
        <f>IF(E58&gt;0,E58,0)</f>
        <v>30</v>
      </c>
    </row>
    <row r="60" spans="1:5" x14ac:dyDescent="0.15">
      <c r="B60" s="66"/>
      <c r="C60" s="66"/>
      <c r="D60" s="66"/>
      <c r="E60" s="66"/>
    </row>
    <row r="61" spans="1:5" x14ac:dyDescent="0.15">
      <c r="A61" s="55" t="s">
        <v>83</v>
      </c>
      <c r="B61" s="66"/>
      <c r="C61" s="66"/>
      <c r="D61" s="66"/>
      <c r="E61" s="66"/>
    </row>
    <row r="62" spans="1:5" x14ac:dyDescent="0.15">
      <c r="A62" s="64" t="s">
        <v>70</v>
      </c>
      <c r="B62" s="63">
        <f>IF(AND($B$11="Yes",$B$12="Yes"),E56,IF(AND($B$11="Yes",$B$12="No"),D56,IF(AND($B$11="No",$B$12="Yes"),C56,B56)))</f>
        <v>80</v>
      </c>
      <c r="C62" s="66"/>
      <c r="D62" s="66"/>
      <c r="E62" s="66"/>
    </row>
    <row r="63" spans="1:5" x14ac:dyDescent="0.15">
      <c r="A63" s="64" t="s">
        <v>20</v>
      </c>
      <c r="B63" s="63">
        <f>IF(AND($B$11="Yes",$B$12="Yes"),E53,IF(AND($B$11="Yes",$B$12="No"),D53,IF(AND($B$11="No",$B$12="Yes"),C53,B53)))</f>
        <v>80</v>
      </c>
      <c r="C63" s="66"/>
      <c r="D63" s="66"/>
      <c r="E63" s="66"/>
    </row>
    <row r="64" spans="1:5" x14ac:dyDescent="0.15">
      <c r="A64" s="54" t="s">
        <v>73</v>
      </c>
      <c r="B64" s="63">
        <f>IF(AND($B$11="Yes",$B$12="Yes"),E59,IF(AND($B$11="Yes",$B$12="No"),D59,IF(AND($B$11="No",$B$12="Yes"),C59,B59)))</f>
        <v>0</v>
      </c>
    </row>
    <row r="65" spans="1:5" x14ac:dyDescent="0.15">
      <c r="A65" s="65" t="s">
        <v>69</v>
      </c>
      <c r="B65" s="63">
        <f>IF(AND($B$11="Yes",$B$12="Yes"),E52,IF(AND($B$11="Yes",$B$12="No"),D52,IF(AND($B$11="No",$B$12="Yes"),C52,B52)))</f>
        <v>0</v>
      </c>
    </row>
    <row r="67" spans="1:5" x14ac:dyDescent="0.15">
      <c r="A67" s="55" t="s">
        <v>88</v>
      </c>
    </row>
    <row r="68" spans="1:5" x14ac:dyDescent="0.15">
      <c r="A68" s="54" t="s">
        <v>85</v>
      </c>
      <c r="D68" s="58" t="str">
        <f>IF(AND(MONTH($B$2)=12,DAY($B$2)&gt;21,DAY($B$2)&lt;31),"Yes","No")</f>
        <v>No</v>
      </c>
      <c r="E68" s="58" t="str">
        <f>IF(AND(MONTH($B$2)=12,DAY($B$2)&gt;21,DAY($B$2)&lt;31),"Yes","No")</f>
        <v>No</v>
      </c>
    </row>
    <row r="69" spans="1:5" x14ac:dyDescent="0.15">
      <c r="A69" s="54" t="s">
        <v>84</v>
      </c>
      <c r="D69" s="58" t="str">
        <f>IF(OR(D51&gt;0,D36&gt;0),"Yes","No")</f>
        <v>Yes</v>
      </c>
      <c r="E69" s="58" t="str">
        <f>IF(OR(E51&gt;0,E36&gt;0),"Yes","No")</f>
        <v>Yes</v>
      </c>
    </row>
    <row r="70" spans="1:5" x14ac:dyDescent="0.15">
      <c r="A70" s="54" t="s">
        <v>86</v>
      </c>
      <c r="D70" s="58" t="str">
        <f>IF(AND(D68="YES",D69="Yes"),"Yes","No")</f>
        <v>No</v>
      </c>
      <c r="E70" s="58" t="str">
        <f>IF(AND(E68="YES",E69="Yes"),"Yes","No")</f>
        <v>No</v>
      </c>
    </row>
    <row r="71" spans="1:5" x14ac:dyDescent="0.15">
      <c r="A71" s="54" t="s">
        <v>87</v>
      </c>
      <c r="D71" s="63">
        <f>D33</f>
        <v>22.5</v>
      </c>
      <c r="E71" s="63">
        <f>E33</f>
        <v>22.5</v>
      </c>
    </row>
    <row r="72" spans="1:5" x14ac:dyDescent="0.15">
      <c r="A72" s="54" t="s">
        <v>60</v>
      </c>
      <c r="D72" s="63">
        <f>ROUNDDOWN(D25-D71,0)</f>
        <v>57</v>
      </c>
      <c r="E72" s="63">
        <f>ROUNDDOWN(E25-E71,0)</f>
        <v>87</v>
      </c>
    </row>
    <row r="73" spans="1:5" x14ac:dyDescent="0.15">
      <c r="A73" s="54" t="s">
        <v>61</v>
      </c>
      <c r="D73" s="61">
        <f>$B$2-D72+1</f>
        <v>44383</v>
      </c>
      <c r="E73" s="61">
        <f>$B$2-E72+1</f>
        <v>44353</v>
      </c>
    </row>
  </sheetData>
  <phoneticPr fontId="3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Term Leave Calc</vt:lpstr>
      <vt:lpstr>Calculation Values</vt:lpstr>
      <vt:lpstr>Calculations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Kirtley</dc:creator>
  <cp:lastModifiedBy>CARR, LARRY W MSgt USAF ACC 390 IS/CCT</cp:lastModifiedBy>
  <dcterms:created xsi:type="dcterms:W3CDTF">2010-04-08T18:42:31Z</dcterms:created>
  <dcterms:modified xsi:type="dcterms:W3CDTF">2021-02-19T18:00:43Z</dcterms:modified>
</cp:coreProperties>
</file>